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sandra\Desktop\IZMJENA REBALANSA I FP 2020-2022\"/>
    </mc:Choice>
  </mc:AlternateContent>
  <workbookProtection workbookPassword="DE31" lockStructure="1"/>
  <bookViews>
    <workbookView xWindow="0" yWindow="0" windowWidth="28800" windowHeight="13725" activeTab="1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2" i="13"/>
  <c r="P89" i="13"/>
  <c r="P64" i="13"/>
  <c r="P51" i="13"/>
  <c r="P27" i="13"/>
  <c r="P14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20" i="13"/>
  <c r="P12" i="13"/>
  <c r="P93" i="13"/>
  <c r="P68" i="13"/>
  <c r="P55" i="13"/>
  <c r="P31" i="13"/>
  <c r="P18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16" i="13"/>
  <c r="P97" i="13"/>
  <c r="P85" i="13"/>
  <c r="P59" i="13"/>
  <c r="P47" i="13"/>
  <c r="P22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L108" i="14"/>
  <c r="K108" i="14"/>
  <c r="J108" i="14"/>
  <c r="E108" i="14"/>
  <c r="N107" i="14"/>
  <c r="L107" i="14"/>
  <c r="K107" i="14"/>
  <c r="J107" i="14"/>
  <c r="E107" i="14"/>
  <c r="N105" i="14"/>
  <c r="L105" i="14"/>
  <c r="K105" i="14"/>
  <c r="J105" i="14"/>
  <c r="E105" i="14"/>
  <c r="N104" i="14"/>
  <c r="L104" i="14"/>
  <c r="K104" i="14"/>
  <c r="J104" i="14"/>
  <c r="E104" i="14"/>
  <c r="N103" i="14"/>
  <c r="L103" i="14"/>
  <c r="K103" i="14"/>
  <c r="J103" i="14"/>
  <c r="E103" i="14"/>
  <c r="N102" i="14"/>
  <c r="L102" i="14"/>
  <c r="K102" i="14"/>
  <c r="J102" i="14"/>
  <c r="E102" i="14"/>
  <c r="N101" i="14"/>
  <c r="L101" i="14"/>
  <c r="K101" i="14"/>
  <c r="J101" i="14"/>
  <c r="E101" i="14"/>
  <c r="N99" i="14"/>
  <c r="L99" i="14"/>
  <c r="K99" i="14"/>
  <c r="J99" i="14"/>
  <c r="E99" i="14"/>
  <c r="N98" i="14"/>
  <c r="L98" i="14"/>
  <c r="K98" i="14"/>
  <c r="J98" i="14"/>
  <c r="E98" i="14"/>
  <c r="N97" i="14"/>
  <c r="L97" i="14"/>
  <c r="K97" i="14"/>
  <c r="J97" i="14"/>
  <c r="E97" i="14"/>
  <c r="N96" i="14"/>
  <c r="L96" i="14"/>
  <c r="K96" i="14"/>
  <c r="J96" i="14"/>
  <c r="E96" i="14"/>
  <c r="N95" i="14"/>
  <c r="L95" i="14"/>
  <c r="K95" i="14"/>
  <c r="J95" i="14"/>
  <c r="E95" i="14"/>
  <c r="N94" i="14"/>
  <c r="L94" i="14"/>
  <c r="K94" i="14"/>
  <c r="J94" i="14"/>
  <c r="E94" i="14"/>
  <c r="N93" i="14"/>
  <c r="L93" i="14"/>
  <c r="K93" i="14"/>
  <c r="J93" i="14"/>
  <c r="E93" i="14"/>
  <c r="E81" i="14"/>
  <c r="J81" i="14"/>
  <c r="K81" i="14"/>
  <c r="L81" i="14"/>
  <c r="N81" i="14"/>
  <c r="E82" i="14"/>
  <c r="J82" i="14"/>
  <c r="K82" i="14"/>
  <c r="L82" i="14"/>
  <c r="N82" i="14"/>
  <c r="E83" i="14"/>
  <c r="J83" i="14"/>
  <c r="K83" i="14"/>
  <c r="L83" i="14"/>
  <c r="N83" i="14"/>
  <c r="E84" i="14"/>
  <c r="J84" i="14"/>
  <c r="K84" i="14"/>
  <c r="L84" i="14"/>
  <c r="N84" i="14"/>
  <c r="E85" i="14"/>
  <c r="J85" i="14"/>
  <c r="K85" i="14"/>
  <c r="L85" i="14"/>
  <c r="N85" i="14"/>
  <c r="E87" i="14"/>
  <c r="J87" i="14"/>
  <c r="K87" i="14"/>
  <c r="L87" i="14"/>
  <c r="N87" i="14"/>
  <c r="N88" i="14"/>
  <c r="L88" i="14"/>
  <c r="K88" i="14"/>
  <c r="J88" i="14"/>
  <c r="E88" i="14"/>
  <c r="N79" i="14"/>
  <c r="L79" i="14"/>
  <c r="K79" i="14"/>
  <c r="J79" i="14"/>
  <c r="E79" i="14"/>
  <c r="N78" i="14"/>
  <c r="L78" i="14"/>
  <c r="K78" i="14"/>
  <c r="J78" i="14"/>
  <c r="E78" i="14"/>
  <c r="N77" i="14"/>
  <c r="L77" i="14"/>
  <c r="K77" i="14"/>
  <c r="J77" i="14"/>
  <c r="E77" i="14"/>
  <c r="N76" i="14"/>
  <c r="L76" i="14"/>
  <c r="K76" i="14"/>
  <c r="J76" i="14"/>
  <c r="E76" i="14"/>
  <c r="N75" i="14"/>
  <c r="L75" i="14"/>
  <c r="K75" i="14"/>
  <c r="J75" i="14"/>
  <c r="E75" i="14"/>
  <c r="N74" i="14"/>
  <c r="L74" i="14"/>
  <c r="K74" i="14"/>
  <c r="J74" i="14"/>
  <c r="E74" i="14"/>
  <c r="N73" i="14"/>
  <c r="L73" i="14"/>
  <c r="K73" i="14"/>
  <c r="J73" i="14"/>
  <c r="E73" i="14"/>
  <c r="E86" i="14" l="1"/>
  <c r="P86" i="14"/>
  <c r="L86" i="14"/>
  <c r="K86" i="14"/>
  <c r="N86" i="14"/>
  <c r="J86" i="14"/>
  <c r="N68" i="14"/>
  <c r="L68" i="14"/>
  <c r="K68" i="14"/>
  <c r="J68" i="14"/>
  <c r="E68" i="14"/>
  <c r="N67" i="14"/>
  <c r="L67" i="14"/>
  <c r="K67" i="14"/>
  <c r="J67" i="14"/>
  <c r="E67" i="14"/>
  <c r="N66" i="14"/>
  <c r="L66" i="14"/>
  <c r="K66" i="14"/>
  <c r="J66" i="14"/>
  <c r="E66" i="14"/>
  <c r="N65" i="14"/>
  <c r="L65" i="14"/>
  <c r="K65" i="14"/>
  <c r="J65" i="14"/>
  <c r="E65" i="14"/>
  <c r="N64" i="14"/>
  <c r="L64" i="14"/>
  <c r="K64" i="14"/>
  <c r="J64" i="14"/>
  <c r="E64" i="14"/>
  <c r="N62" i="14"/>
  <c r="L62" i="14"/>
  <c r="K62" i="14"/>
  <c r="J62" i="14"/>
  <c r="E62" i="14"/>
  <c r="N61" i="14"/>
  <c r="L61" i="14"/>
  <c r="K61" i="14"/>
  <c r="J61" i="14"/>
  <c r="E61" i="14"/>
  <c r="N60" i="14"/>
  <c r="L60" i="14"/>
  <c r="K60" i="14"/>
  <c r="J60" i="14"/>
  <c r="E60" i="14"/>
  <c r="N57" i="14"/>
  <c r="L57" i="14"/>
  <c r="K57" i="14"/>
  <c r="J57" i="14"/>
  <c r="E57" i="14"/>
  <c r="N56" i="14"/>
  <c r="L56" i="14"/>
  <c r="K56" i="14"/>
  <c r="J56" i="14"/>
  <c r="E56" i="14"/>
  <c r="N55" i="14"/>
  <c r="L55" i="14"/>
  <c r="K55" i="14"/>
  <c r="J55" i="14"/>
  <c r="E55" i="14"/>
  <c r="N54" i="14"/>
  <c r="L54" i="14"/>
  <c r="K54" i="14"/>
  <c r="J54" i="14"/>
  <c r="E54" i="14"/>
  <c r="N52" i="14"/>
  <c r="L52" i="14"/>
  <c r="K52" i="14"/>
  <c r="J52" i="14"/>
  <c r="E52" i="14"/>
  <c r="N48" i="14"/>
  <c r="L48" i="14"/>
  <c r="K48" i="14"/>
  <c r="J48" i="14"/>
  <c r="E48" i="14"/>
  <c r="N47" i="14"/>
  <c r="L47" i="14"/>
  <c r="K47" i="14"/>
  <c r="J47" i="14"/>
  <c r="E47" i="14"/>
  <c r="N46" i="14"/>
  <c r="L46" i="14"/>
  <c r="K46" i="14"/>
  <c r="J46" i="14"/>
  <c r="E46" i="14"/>
  <c r="N45" i="14"/>
  <c r="L45" i="14"/>
  <c r="K45" i="14"/>
  <c r="J45" i="14"/>
  <c r="E45" i="14"/>
  <c r="N44" i="14"/>
  <c r="L44" i="14"/>
  <c r="K44" i="14"/>
  <c r="J44" i="14"/>
  <c r="E44" i="14"/>
  <c r="N43" i="14"/>
  <c r="L43" i="14"/>
  <c r="K43" i="14"/>
  <c r="J43" i="14"/>
  <c r="E43" i="14"/>
  <c r="N41" i="14"/>
  <c r="L41" i="14"/>
  <c r="K41" i="14"/>
  <c r="J41" i="14"/>
  <c r="E41" i="14"/>
  <c r="N40" i="14"/>
  <c r="L40" i="14"/>
  <c r="K40" i="14"/>
  <c r="J40" i="14"/>
  <c r="E40" i="14"/>
  <c r="L59" i="14" l="1"/>
  <c r="J59" i="14"/>
  <c r="N59" i="14"/>
  <c r="K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L37" i="14"/>
  <c r="K37" i="14"/>
  <c r="J37" i="14"/>
  <c r="E37" i="14"/>
  <c r="N36" i="14"/>
  <c r="M36" i="14"/>
  <c r="L36" i="14"/>
  <c r="K36" i="14"/>
  <c r="J36" i="14"/>
  <c r="E36" i="14"/>
  <c r="N35" i="14"/>
  <c r="L35" i="14"/>
  <c r="K35" i="14"/>
  <c r="J35" i="14"/>
  <c r="E35" i="14"/>
  <c r="N34" i="14"/>
  <c r="L34" i="14"/>
  <c r="K34" i="14"/>
  <c r="J34" i="14"/>
  <c r="E34" i="14"/>
  <c r="N32" i="14"/>
  <c r="L32" i="14"/>
  <c r="K32" i="14"/>
  <c r="J32" i="14"/>
  <c r="E32" i="14"/>
  <c r="N31" i="14"/>
  <c r="M31" i="14"/>
  <c r="L31" i="14"/>
  <c r="K31" i="14"/>
  <c r="J31" i="14"/>
  <c r="E31" i="14"/>
  <c r="N29" i="14"/>
  <c r="L29" i="14"/>
  <c r="K29" i="14"/>
  <c r="J29" i="14"/>
  <c r="E29" i="14"/>
  <c r="N28" i="14"/>
  <c r="L28" i="14"/>
  <c r="K28" i="14"/>
  <c r="J28" i="14"/>
  <c r="E28" i="14"/>
  <c r="N27" i="14"/>
  <c r="L27" i="14"/>
  <c r="K27" i="14"/>
  <c r="J27" i="14"/>
  <c r="E27" i="14"/>
  <c r="N26" i="14"/>
  <c r="M26" i="14"/>
  <c r="L26" i="14"/>
  <c r="K26" i="14"/>
  <c r="J26" i="14"/>
  <c r="E26" i="14"/>
  <c r="N25" i="14"/>
  <c r="L25" i="14"/>
  <c r="K25" i="14"/>
  <c r="J25" i="14"/>
  <c r="E25" i="14"/>
  <c r="N24" i="14"/>
  <c r="L24" i="14"/>
  <c r="K24" i="14"/>
  <c r="J24" i="14"/>
  <c r="E24" i="14"/>
  <c r="N22" i="14"/>
  <c r="L22" i="14"/>
  <c r="K22" i="14"/>
  <c r="J22" i="14"/>
  <c r="E22" i="14"/>
  <c r="N21" i="14"/>
  <c r="M21" i="14"/>
  <c r="L21" i="14"/>
  <c r="K21" i="14"/>
  <c r="J21" i="14"/>
  <c r="E21" i="14"/>
  <c r="N20" i="14"/>
  <c r="L20" i="14"/>
  <c r="K20" i="14"/>
  <c r="J20" i="14"/>
  <c r="E20" i="14"/>
  <c r="N18" i="14"/>
  <c r="L18" i="14"/>
  <c r="K18" i="14"/>
  <c r="J18" i="14"/>
  <c r="E18" i="14"/>
  <c r="N17" i="14"/>
  <c r="L17" i="14"/>
  <c r="K17" i="14"/>
  <c r="J17" i="14"/>
  <c r="E17" i="14"/>
  <c r="N16" i="14"/>
  <c r="M16" i="14"/>
  <c r="L16" i="14"/>
  <c r="K16" i="14"/>
  <c r="J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F11" i="14" s="1"/>
  <c r="N9" i="17"/>
  <c r="M10" i="17"/>
  <c r="N10" i="17"/>
  <c r="M11" i="17"/>
  <c r="N11" i="17"/>
  <c r="M12" i="17"/>
  <c r="H37" i="14" s="1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M34" i="14" s="1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O36" i="14" s="1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N14" i="14"/>
  <c r="M14" i="14"/>
  <c r="L14" i="14"/>
  <c r="K14" i="14"/>
  <c r="J14" i="14"/>
  <c r="I14" i="14"/>
  <c r="H14" i="14"/>
  <c r="O13" i="14"/>
  <c r="N13" i="14"/>
  <c r="M13" i="14"/>
  <c r="K13" i="14"/>
  <c r="J13" i="14"/>
  <c r="I13" i="14"/>
  <c r="H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I11" i="14"/>
  <c r="H11" i="14"/>
  <c r="E11" i="14"/>
  <c r="O10" i="14"/>
  <c r="N10" i="14"/>
  <c r="M10" i="14"/>
  <c r="L10" i="14"/>
  <c r="K10" i="14"/>
  <c r="J10" i="14"/>
  <c r="I10" i="14"/>
  <c r="H10" i="14"/>
  <c r="O8" i="14"/>
  <c r="N8" i="14"/>
  <c r="M8" i="14"/>
  <c r="K8" i="14"/>
  <c r="J8" i="14"/>
  <c r="I8" i="14"/>
  <c r="H8" i="14"/>
  <c r="E8" i="14"/>
  <c r="O7" i="14"/>
  <c r="N7" i="14"/>
  <c r="M7" i="14"/>
  <c r="K7" i="14"/>
  <c r="J7" i="14"/>
  <c r="I7" i="14"/>
  <c r="H7" i="14"/>
  <c r="F7" i="14"/>
  <c r="D7" i="14"/>
  <c r="O6" i="14"/>
  <c r="N6" i="14"/>
  <c r="M6" i="14"/>
  <c r="L6" i="14"/>
  <c r="K6" i="14"/>
  <c r="J6" i="14"/>
  <c r="I6" i="14"/>
  <c r="H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O22" i="14" l="1"/>
  <c r="O25" i="14"/>
  <c r="O31" i="14"/>
  <c r="O34" i="14"/>
  <c r="O14" i="14"/>
  <c r="O82" i="14"/>
  <c r="O84" i="14"/>
  <c r="O87" i="14"/>
  <c r="O108" i="14"/>
  <c r="O105" i="14"/>
  <c r="O103" i="14"/>
  <c r="O101" i="14"/>
  <c r="O98" i="14"/>
  <c r="O96" i="14"/>
  <c r="O94" i="14"/>
  <c r="O88" i="14"/>
  <c r="O78" i="14"/>
  <c r="O76" i="14"/>
  <c r="O74" i="14"/>
  <c r="O81" i="14"/>
  <c r="O83" i="14"/>
  <c r="O85" i="14"/>
  <c r="O107" i="14"/>
  <c r="O104" i="14"/>
  <c r="O102" i="14"/>
  <c r="O99" i="14"/>
  <c r="O97" i="14"/>
  <c r="O95" i="14"/>
  <c r="O93" i="14"/>
  <c r="O79" i="14"/>
  <c r="O77" i="14"/>
  <c r="O75" i="14"/>
  <c r="O73" i="14"/>
  <c r="O16" i="14"/>
  <c r="O18" i="14"/>
  <c r="O27" i="14"/>
  <c r="O29" i="14"/>
  <c r="O50" i="14"/>
  <c r="O67" i="14"/>
  <c r="O65" i="14"/>
  <c r="O62" i="14"/>
  <c r="O60" i="14"/>
  <c r="O56" i="14"/>
  <c r="O54" i="14"/>
  <c r="O48" i="14"/>
  <c r="O46" i="14"/>
  <c r="O44" i="14"/>
  <c r="O41" i="14"/>
  <c r="O68" i="14"/>
  <c r="O66" i="14"/>
  <c r="O64" i="14"/>
  <c r="O61" i="14"/>
  <c r="O57" i="14"/>
  <c r="O55" i="14"/>
  <c r="O52" i="14"/>
  <c r="O47" i="14"/>
  <c r="O45" i="14"/>
  <c r="O43" i="14"/>
  <c r="O40" i="14"/>
  <c r="O21" i="14"/>
  <c r="O24" i="14"/>
  <c r="O32" i="14"/>
  <c r="O35" i="14"/>
  <c r="O17" i="14"/>
  <c r="O20" i="14"/>
  <c r="O26" i="14"/>
  <c r="O28" i="14"/>
  <c r="O37" i="14"/>
  <c r="M104" i="14"/>
  <c r="M99" i="14"/>
  <c r="M95" i="14"/>
  <c r="M84" i="14"/>
  <c r="M77" i="14"/>
  <c r="M73" i="14"/>
  <c r="M74" i="14"/>
  <c r="M85" i="14"/>
  <c r="M76" i="14"/>
  <c r="M105" i="14"/>
  <c r="M101" i="14"/>
  <c r="M96" i="14"/>
  <c r="M83" i="14"/>
  <c r="M78" i="14"/>
  <c r="M107" i="14"/>
  <c r="M102" i="14"/>
  <c r="M97" i="14"/>
  <c r="M93" i="14"/>
  <c r="M82" i="14"/>
  <c r="M87" i="14"/>
  <c r="M79" i="14"/>
  <c r="M75" i="14"/>
  <c r="M88" i="14"/>
  <c r="M108" i="14"/>
  <c r="M103" i="14"/>
  <c r="M98" i="14"/>
  <c r="M94" i="14"/>
  <c r="M81" i="14"/>
  <c r="M18" i="14"/>
  <c r="M24" i="14"/>
  <c r="M28" i="14"/>
  <c r="M50" i="14"/>
  <c r="M66" i="14"/>
  <c r="M61" i="14"/>
  <c r="M55" i="14"/>
  <c r="M47" i="14"/>
  <c r="M43" i="14"/>
  <c r="M60" i="14"/>
  <c r="M54" i="14"/>
  <c r="M46" i="14"/>
  <c r="M67" i="14"/>
  <c r="M62" i="14"/>
  <c r="M56" i="14"/>
  <c r="M48" i="14"/>
  <c r="M44" i="14"/>
  <c r="M68" i="14"/>
  <c r="M64" i="14"/>
  <c r="M57" i="14"/>
  <c r="M52" i="14"/>
  <c r="M45" i="14"/>
  <c r="M40" i="14"/>
  <c r="M65" i="14"/>
  <c r="M41" i="14"/>
  <c r="M17" i="14"/>
  <c r="M22" i="14"/>
  <c r="M27" i="14"/>
  <c r="M32" i="14"/>
  <c r="M37" i="14"/>
  <c r="M20" i="14"/>
  <c r="M25" i="14"/>
  <c r="M29" i="14"/>
  <c r="M35" i="14"/>
  <c r="F13" i="14"/>
  <c r="F14" i="14"/>
  <c r="F10" i="14"/>
  <c r="F6" i="14"/>
  <c r="F35" i="14"/>
  <c r="F8" i="14"/>
  <c r="D40" i="14"/>
  <c r="D50" i="14"/>
  <c r="D49" i="14" s="1"/>
  <c r="I81" i="14"/>
  <c r="I82" i="14"/>
  <c r="I83" i="14"/>
  <c r="I84" i="14"/>
  <c r="I85" i="14"/>
  <c r="I8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4" i="14"/>
  <c r="I73" i="14"/>
  <c r="I50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48" i="14"/>
  <c r="I47" i="14"/>
  <c r="I46" i="14"/>
  <c r="I45" i="14"/>
  <c r="I44" i="14"/>
  <c r="I43" i="14"/>
  <c r="I41" i="14"/>
  <c r="I40" i="14"/>
  <c r="I16" i="14"/>
  <c r="I17" i="14"/>
  <c r="I18" i="14"/>
  <c r="I20" i="14"/>
  <c r="I21" i="14"/>
  <c r="I22" i="14"/>
  <c r="I24" i="14"/>
  <c r="I25" i="14"/>
  <c r="I26" i="14"/>
  <c r="I27" i="14"/>
  <c r="I28" i="14"/>
  <c r="I29" i="14"/>
  <c r="I31" i="14"/>
  <c r="I32" i="14"/>
  <c r="I34" i="14"/>
  <c r="I35" i="14"/>
  <c r="I36" i="14"/>
  <c r="I37" i="14"/>
  <c r="H17" i="14"/>
  <c r="H22" i="14"/>
  <c r="H27" i="14"/>
  <c r="H32" i="14"/>
  <c r="H50" i="14"/>
  <c r="H68" i="14"/>
  <c r="H64" i="14"/>
  <c r="H57" i="14"/>
  <c r="H52" i="14"/>
  <c r="H45" i="14"/>
  <c r="H67" i="14"/>
  <c r="H62" i="14"/>
  <c r="H56" i="14"/>
  <c r="H48" i="14"/>
  <c r="H44" i="14"/>
  <c r="H66" i="14"/>
  <c r="H61" i="14"/>
  <c r="H55" i="14"/>
  <c r="H47" i="14"/>
  <c r="H43" i="14"/>
  <c r="H65" i="14"/>
  <c r="H60" i="14"/>
  <c r="H54" i="14"/>
  <c r="H46" i="14"/>
  <c r="H41" i="14"/>
  <c r="H40" i="14"/>
  <c r="H18" i="14"/>
  <c r="H24" i="14"/>
  <c r="H28" i="14"/>
  <c r="H34" i="14"/>
  <c r="H20" i="14"/>
  <c r="H25" i="14"/>
  <c r="H29" i="14"/>
  <c r="H35" i="14"/>
  <c r="H16" i="14"/>
  <c r="H21" i="14"/>
  <c r="H26" i="14"/>
  <c r="H31" i="14"/>
  <c r="H36" i="14"/>
  <c r="G108" i="14"/>
  <c r="G103" i="14"/>
  <c r="G98" i="14"/>
  <c r="G94" i="14"/>
  <c r="G81" i="14"/>
  <c r="G85" i="14"/>
  <c r="G88" i="14"/>
  <c r="G76" i="14"/>
  <c r="G107" i="14"/>
  <c r="G102" i="14"/>
  <c r="G97" i="14"/>
  <c r="G93" i="14"/>
  <c r="G82" i="14"/>
  <c r="G87" i="14"/>
  <c r="G79" i="14"/>
  <c r="G75" i="14"/>
  <c r="G73" i="14"/>
  <c r="G105" i="14"/>
  <c r="G101" i="14"/>
  <c r="G96" i="14"/>
  <c r="G83" i="14"/>
  <c r="G78" i="14"/>
  <c r="G74" i="14"/>
  <c r="G104" i="14"/>
  <c r="G99" i="14"/>
  <c r="G95" i="14"/>
  <c r="G84" i="14"/>
  <c r="G77" i="14"/>
  <c r="G50" i="14"/>
  <c r="G67" i="14"/>
  <c r="G65" i="14"/>
  <c r="G62" i="14"/>
  <c r="G60" i="14"/>
  <c r="G56" i="14"/>
  <c r="G54" i="14"/>
  <c r="G48" i="14"/>
  <c r="G46" i="14"/>
  <c r="G44" i="14"/>
  <c r="G41" i="14"/>
  <c r="G68" i="14"/>
  <c r="G66" i="14"/>
  <c r="G64" i="14"/>
  <c r="G61" i="14"/>
  <c r="G57" i="14"/>
  <c r="G55" i="14"/>
  <c r="G52" i="14"/>
  <c r="G47" i="14"/>
  <c r="G45" i="14"/>
  <c r="G43" i="14"/>
  <c r="G40" i="14"/>
  <c r="G16" i="14"/>
  <c r="G18" i="14"/>
  <c r="G21" i="14"/>
  <c r="G24" i="14"/>
  <c r="G26" i="14"/>
  <c r="G28" i="14"/>
  <c r="G31" i="14"/>
  <c r="G34" i="14"/>
  <c r="G36" i="14"/>
  <c r="G17" i="14"/>
  <c r="G20" i="14"/>
  <c r="G22" i="14"/>
  <c r="G25" i="14"/>
  <c r="G27" i="14"/>
  <c r="G29" i="14"/>
  <c r="G32" i="14"/>
  <c r="G35" i="14"/>
  <c r="G37" i="14"/>
  <c r="F82" i="14"/>
  <c r="F84" i="14"/>
  <c r="F87" i="14"/>
  <c r="F108" i="14"/>
  <c r="F105" i="14"/>
  <c r="F103" i="14"/>
  <c r="F101" i="14"/>
  <c r="F98" i="14"/>
  <c r="F96" i="14"/>
  <c r="F94" i="14"/>
  <c r="F88" i="14"/>
  <c r="F78" i="14"/>
  <c r="F76" i="14"/>
  <c r="F74" i="14"/>
  <c r="F81" i="14"/>
  <c r="F83" i="14"/>
  <c r="F85" i="14"/>
  <c r="F107" i="14"/>
  <c r="F104" i="14"/>
  <c r="F102" i="14"/>
  <c r="F99" i="14"/>
  <c r="F97" i="14"/>
  <c r="F95" i="14"/>
  <c r="F93" i="14"/>
  <c r="F79" i="14"/>
  <c r="F77" i="14"/>
  <c r="F75" i="14"/>
  <c r="F73" i="14"/>
  <c r="F20" i="14"/>
  <c r="F25" i="14"/>
  <c r="F29" i="14"/>
  <c r="F50" i="14"/>
  <c r="F49" i="14" s="1"/>
  <c r="F68" i="14"/>
  <c r="F64" i="14"/>
  <c r="F57" i="14"/>
  <c r="F52" i="14"/>
  <c r="F48" i="14"/>
  <c r="F44" i="14"/>
  <c r="F65" i="14"/>
  <c r="F60" i="14"/>
  <c r="F54" i="14"/>
  <c r="F45" i="14"/>
  <c r="F40" i="14"/>
  <c r="F66" i="14"/>
  <c r="F61" i="14"/>
  <c r="F55" i="14"/>
  <c r="F46" i="14"/>
  <c r="F41" i="14"/>
  <c r="F67" i="14"/>
  <c r="F62" i="14"/>
  <c r="F56" i="14"/>
  <c r="F47" i="14"/>
  <c r="F43" i="14"/>
  <c r="F18" i="14"/>
  <c r="F24" i="14"/>
  <c r="F28" i="14"/>
  <c r="F34" i="14"/>
  <c r="F17" i="14"/>
  <c r="F22" i="14"/>
  <c r="F27" i="14"/>
  <c r="F32" i="14"/>
  <c r="F37" i="14"/>
  <c r="F16" i="14"/>
  <c r="F21" i="14"/>
  <c r="F26" i="14"/>
  <c r="F31" i="14"/>
  <c r="F36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O86" i="14" l="1"/>
  <c r="O59" i="14"/>
  <c r="M86" i="14"/>
  <c r="M59" i="14"/>
  <c r="G86" i="14"/>
  <c r="I59" i="14"/>
  <c r="H59" i="14"/>
  <c r="I86" i="14"/>
  <c r="H63" i="14"/>
  <c r="F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<sst xmlns="http://schemas.openxmlformats.org/spreadsheetml/2006/main" count="3405" uniqueCount="1682">
  <si>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</si>
  <si>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</si>
  <si>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</si>
  <si>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</si>
  <si>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</si>
  <si>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</si>
  <si>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</si>
  <si>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</si>
  <si>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</si>
  <si>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</si>
  <si>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</si>
  <si>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</si>
  <si>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</si>
  <si>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</si>
  <si>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</si>
  <si>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</si>
  <si>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</si>
  <si>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</si>
  <si>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</si>
  <si>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</si>
  <si>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</si>
  <si>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</si>
  <si>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</si>
  <si>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</si>
  <si>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</si>
  <si>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</si>
  <si>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</si>
  <si>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</si>
  <si>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</si>
  <si>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</si>
  <si>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</si>
  <si>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</si>
  <si>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</si>
  <si>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</si>
  <si>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</si>
  <si>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</si>
  <si>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</si>
  <si>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</si>
  <si>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</si>
  <si>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</si>
  <si>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</si>
  <si>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</si>
  <si>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</si>
  <si>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</si>
  <si>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</si>
  <si>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</si>
  <si>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</si>
  <si>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</si>
  <si>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</si>
  <si>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</si>
  <si>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</si>
  <si>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</si>
  <si>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</si>
  <si>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</si>
  <si>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</si>
  <si>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</si>
  <si>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</si>
  <si>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</si>
  <si>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</si>
  <si>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</si>
  <si>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</si>
  <si>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</si>
  <si>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</si>
  <si>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</si>
  <si>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</si>
  <si>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</si>
  <si>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</si>
  <si>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</si>
  <si>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</si>
  <si>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</si>
  <si>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</si>
  <si>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</si>
  <si>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</si>
  <si>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</si>
  <si>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</si>
  <si>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</si>
  <si>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</si>
  <si>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</si>
  <si>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</si>
  <si>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</si>
  <si>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</si>
  <si>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</si>
  <si>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</si>
  <si>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</si>
  <si>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</si>
  <si>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</si>
  <si>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</si>
  <si>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</si>
  <si>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</si>
  <si>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</si>
  <si>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</si>
  <si>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</si>
  <si>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</si>
  <si>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</si>
  <si>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</si>
  <si>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</si>
  <si>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</si>
  <si>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</si>
  <si>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</si>
  <si>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</si>
  <si>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</si>
  <si>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</si>
  <si>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</si>
  <si>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</si>
  <si>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</si>
  <si>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</si>
  <si>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</si>
  <si>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</si>
  <si>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</si>
  <si>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</si>
  <si>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</si>
  <si>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</si>
  <si>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</si>
  <si>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</si>
  <si>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</si>
  <si>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</si>
  <si>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</si>
  <si>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</si>
  <si>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</si>
  <si>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</si>
  <si>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</si>
  <si>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</si>
  <si>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</si>
  <si>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</si>
  <si>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</si>
  <si>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</si>
  <si>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</si>
  <si>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</si>
  <si>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</si>
  <si>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</si>
  <si>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</si>
  <si>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</si>
  <si>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</si>
  <si>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</si>
  <si>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</si>
  <si>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</si>
  <si>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</si>
  <si>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</si>
  <si>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</si>
  <si>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</si>
  <si>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</si>
  <si>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</si>
  <si>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</si>
  <si>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</si>
  <si>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</si>
  <si>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</si>
  <si>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</si>
  <si>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</si>
  <si>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</si>
  <si>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</si>
  <si>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</si>
  <si>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</si>
  <si>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</si>
  <si>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</si>
  <si>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</si>
  <si>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</si>
  <si>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</si>
  <si>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</si>
  <si>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</si>
  <si>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</si>
  <si>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</si>
  <si>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</si>
  <si>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</si>
  <si>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</si>
  <si>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</si>
  <si>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</si>
  <si>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</si>
  <si>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</si>
  <si>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</si>
  <si>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</si>
  <si>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</si>
  <si>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</si>
  <si>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</si>
  <si>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</si>
  <si>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</si>
  <si>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</si>
  <si>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</si>
  <si>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</si>
  <si>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</si>
  <si>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</si>
  <si>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</si>
  <si>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</si>
  <si>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</si>
  <si>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</si>
  <si>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</si>
  <si>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</si>
  <si>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</si>
  <si>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</si>
  <si>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</si>
  <si>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</si>
  <si>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</si>
  <si>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</si>
  <si>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</si>
  <si>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</si>
  <si>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</si>
  <si>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</si>
  <si>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</si>
  <si>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</si>
  <si>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</si>
  <si>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</si>
  <si>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</si>
  <si>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</si>
  <si>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</si>
  <si>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</si>
  <si>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</si>
  <si>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</si>
  <si>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</si>
  <si>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</si>
  <si>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</si>
  <si>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</si>
  <si>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</si>
  <si>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</si>
  <si>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</si>
  <si>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</si>
  <si>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</si>
  <si>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</si>
  <si>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</si>
  <si>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</si>
  <si>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</si>
  <si>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</si>
  <si>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</si>
  <si>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</si>
  <si>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</si>
  <si>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</si>
  <si>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</si>
  <si>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</si>
  <si>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</si>
  <si>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</si>
  <si>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</si>
  <si>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</si>
  <si>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</si>
  <si>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</si>
  <si>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</si>
  <si>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</si>
  <si>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</si>
  <si>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</si>
  <si>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</si>
  <si>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</si>
  <si>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</si>
  <si>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</si>
  <si>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</si>
  <si>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</si>
  <si>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</si>
  <si>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</si>
  <si>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</si>
  <si>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</si>
  <si>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</si>
  <si>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</si>
  <si>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</si>
  <si>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</si>
  <si>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</si>
  <si>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</si>
  <si>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</si>
  <si>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</si>
  <si>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</si>
  <si>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</si>
  <si>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</si>
  <si>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</si>
  <si>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</si>
  <si>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</si>
  <si>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</si>
  <si>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</si>
  <si>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</si>
  <si>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</si>
  <si>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</si>
  <si>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</si>
  <si>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</si>
  <si>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</si>
  <si>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</si>
  <si>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</si>
  <si>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</si>
  <si>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</si>
  <si>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</si>
  <si>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</si>
  <si>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</si>
  <si>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</si>
  <si>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</si>
  <si>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</si>
  <si>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</si>
  <si>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</si>
  <si>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</si>
  <si>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</si>
  <si>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</si>
  <si>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</si>
  <si>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</si>
  <si>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</si>
  <si>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</si>
  <si>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</si>
  <si>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</si>
  <si>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</si>
  <si>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</si>
  <si>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</si>
  <si>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</si>
  <si>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</si>
  <si>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</si>
  <si>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</si>
  <si>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</si>
  <si>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</si>
  <si>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</si>
  <si>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</si>
  <si>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</si>
  <si>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</si>
  <si>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</si>
  <si>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</si>
  <si>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</si>
  <si>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</si>
  <si>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</si>
  <si>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</si>
  <si>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</si>
  <si>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</si>
  <si>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</si>
  <si>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</si>
  <si>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</si>
  <si>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</si>
  <si>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</si>
  <si>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</si>
  <si>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</si>
  <si>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</si>
  <si>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</si>
  <si>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</si>
  <si>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</si>
  <si>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</si>
  <si>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</si>
  <si>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</si>
  <si>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</si>
  <si>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</si>
  <si>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</si>
  <si>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</si>
  <si>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</si>
  <si>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</si>
  <si>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</si>
  <si>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</si>
  <si>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</si>
  <si>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</si>
  <si>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</si>
  <si>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</si>
  <si>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</si>
  <si>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</si>
  <si>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</si>
  <si>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</si>
  <si>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</si>
  <si>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</si>
  <si>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</si>
  <si>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</si>
  <si>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</si>
  <si>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</si>
  <si>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</si>
  <si>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</si>
  <si>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</si>
  <si>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</si>
  <si>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</si>
  <si>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</si>
  <si>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</si>
  <si>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</si>
  <si>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</si>
  <si>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</si>
  <si>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</si>
  <si>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</si>
  <si>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</si>
  <si>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</si>
  <si>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</si>
  <si>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</si>
  <si>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</si>
  <si>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</si>
  <si>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</si>
  <si>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</si>
  <si>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</si>
  <si>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</si>
  <si>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</si>
  <si>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</si>
  <si>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</si>
  <si>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</si>
  <si>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</si>
  <si>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</si>
  <si>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</si>
  <si>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</si>
  <si>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</si>
  <si>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</si>
  <si>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</si>
  <si>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</si>
  <si>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</si>
  <si>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</si>
  <si>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</si>
  <si>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</si>
  <si>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</si>
  <si>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</si>
  <si>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</si>
  <si>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</si>
  <si>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</si>
  <si>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</si>
  <si>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</si>
  <si>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</si>
  <si>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</si>
  <si>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</si>
  <si>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</si>
  <si>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</si>
  <si>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</si>
  <si>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</si>
  <si>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</si>
  <si>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</si>
  <si>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</si>
  <si>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</si>
  <si>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</si>
  <si>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</si>
  <si>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</si>
  <si>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</si>
  <si>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</si>
  <si>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</si>
  <si>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</si>
  <si>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</si>
  <si>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</si>
  <si>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</si>
  <si>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</si>
  <si>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</si>
  <si>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</si>
  <si>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</si>
  <si>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</si>
  <si>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</si>
  <si>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</si>
  <si>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</si>
  <si>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</si>
  <si>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</si>
  <si>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</si>
  <si>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</si>
  <si>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</si>
  <si>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</si>
  <si>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</si>
  <si>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</si>
  <si>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</si>
  <si>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</si>
  <si>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</si>
  <si>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</si>
  <si>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</si>
  <si>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</si>
  <si>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</si>
  <si>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</si>
  <si>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</si>
  <si>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</si>
  <si>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</si>
  <si>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</si>
  <si>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</si>
  <si>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</si>
  <si>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</si>
  <si>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</si>
  <si>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</si>
  <si>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</si>
  <si>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</si>
  <si>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</si>
  <si>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</si>
  <si>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</si>
  <si>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</si>
  <si>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</si>
  <si>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</si>
  <si>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</si>
  <si>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</si>
  <si>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</si>
  <si>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</si>
  <si>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</si>
  <si>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</si>
  <si>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</si>
  <si>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</si>
  <si>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</si>
  <si>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</si>
  <si>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</si>
  <si>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</si>
  <si>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</si>
  <si>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</si>
  <si>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</si>
  <si>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</si>
  <si>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</si>
  <si>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</si>
  <si>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</si>
  <si>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</si>
  <si>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</si>
  <si>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</si>
  <si>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</si>
  <si>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</si>
  <si>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</si>
  <si>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</si>
  <si>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</si>
  <si>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</si>
  <si>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</si>
  <si>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</si>
  <si>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</si>
  <si>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</si>
  <si>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</si>
  <si>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</si>
  <si>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</si>
  <si>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</si>
  <si>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</si>
  <si>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</si>
  <si>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</si>
  <si>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</si>
  <si>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</si>
  <si>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</si>
  <si>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</si>
  <si>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</si>
  <si>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</si>
  <si>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</si>
  <si>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</si>
  <si>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</si>
  <si>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</si>
  <si>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</si>
  <si>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</si>
  <si>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</si>
  <si>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</si>
  <si>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</si>
  <si>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</si>
  <si>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</si>
  <si>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</si>
  <si>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</si>
  <si>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</si>
  <si>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</si>
  <si>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</si>
  <si>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</si>
  <si>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</si>
  <si>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</si>
  <si>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</si>
  <si>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</si>
  <si>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</si>
  <si>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</si>
  <si>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</si>
  <si>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</si>
  <si>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</si>
  <si>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</si>
  <si>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</si>
  <si>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</si>
  <si>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</si>
  <si>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</si>
  <si>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</si>
  <si>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</si>
  <si>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</si>
  <si>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</si>
  <si>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</si>
  <si>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</si>
  <si>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</si>
  <si>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</si>
  <si>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</si>
  <si>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</si>
  <si>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</si>
  <si>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</si>
  <si>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</si>
  <si>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</si>
  <si>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</si>
  <si>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</si>
  <si>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</si>
  <si>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</si>
  <si>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</si>
  <si>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</si>
  <si>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</si>
  <si>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</si>
  <si>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</si>
  <si>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</si>
  <si>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</si>
  <si>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</si>
  <si>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</si>
  <si>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</si>
  <si>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</si>
  <si>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</si>
  <si>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</si>
  <si>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</si>
  <si>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</si>
  <si>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</si>
  <si>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</si>
  <si>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</si>
  <si>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</si>
  <si>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</si>
  <si>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</si>
  <si>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</si>
  <si>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</si>
  <si>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</si>
  <si>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</si>
  <si>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</si>
  <si>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</si>
  <si>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</si>
  <si>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</si>
  <si>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</si>
  <si>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</si>
  <si>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</si>
  <si>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</si>
  <si>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</si>
  <si>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</si>
  <si>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</si>
  <si>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</si>
  <si>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</si>
  <si>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</si>
  <si>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</si>
  <si>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</si>
  <si>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</si>
  <si>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</si>
  <si>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</si>
  <si>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</si>
  <si>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</si>
  <si>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</si>
  <si>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</si>
  <si>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</si>
  <si>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</si>
  <si>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</si>
  <si>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</si>
  <si>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</si>
  <si>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</si>
  <si>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</si>
  <si>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</si>
  <si>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</si>
  <si>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</si>
  <si>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</si>
  <si>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</si>
  <si>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</si>
  <si>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</si>
  <si>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</si>
  <si>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</si>
  <si>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</si>
  <si>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</si>
  <si>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</si>
  <si>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</si>
  <si>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</si>
  <si>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</si>
  <si>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</si>
  <si>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</si>
  <si>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</si>
  <si>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</si>
  <si>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</si>
  <si>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</si>
  <si>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</si>
  <si>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</si>
  <si>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</si>
  <si>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</si>
  <si>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</si>
  <si>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</si>
  <si>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</si>
  <si>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</si>
  <si>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</si>
  <si>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</si>
  <si>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</si>
  <si>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</si>
  <si>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</si>
  <si>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</si>
  <si>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</si>
  <si>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</si>
  <si>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</si>
  <si>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</si>
  <si>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</si>
  <si>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</si>
  <si>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</si>
  <si>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</si>
  <si>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</si>
  <si>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</si>
  <si>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</si>
  <si>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</si>
  <si>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</si>
  <si>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</si>
  <si>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</si>
  <si>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</si>
  <si>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</si>
  <si>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</si>
  <si>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</si>
  <si>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</si>
  <si>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</si>
  <si>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</si>
  <si>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</si>
  <si>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</si>
  <si>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</si>
  <si>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</si>
  <si>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</si>
  <si>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</si>
  <si>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</si>
  <si>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</si>
  <si>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</si>
  <si>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</si>
  <si>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</si>
  <si>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</si>
  <si>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</si>
  <si>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</si>
  <si>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</si>
  <si>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</si>
  <si>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</si>
  <si>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</si>
  <si>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</si>
  <si>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</si>
  <si>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</si>
  <si>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</si>
  <si>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</si>
  <si>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</si>
  <si>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</si>
  <si>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</si>
  <si>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</si>
  <si>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</si>
  <si>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</si>
  <si>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</si>
  <si>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</si>
  <si>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</si>
  <si>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</si>
  <si>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</si>
  <si>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</si>
  <si>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</si>
  <si>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</si>
  <si>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</si>
  <si>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</si>
  <si>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</si>
  <si>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</si>
  <si>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</si>
  <si>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</si>
  <si>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</si>
  <si>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</si>
  <si>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</si>
  <si>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</si>
  <si>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</si>
  <si>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</si>
  <si>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</si>
  <si>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</si>
  <si>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</si>
  <si>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</si>
  <si>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</si>
  <si>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</si>
  <si>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</si>
  <si>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</si>
  <si>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</si>
  <si>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</si>
  <si>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</si>
  <si>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</si>
  <si>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</si>
  <si>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</si>
  <si>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</si>
  <si>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</si>
  <si>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</si>
  <si>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</si>
  <si>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</si>
  <si>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</si>
  <si>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</si>
  <si>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</si>
  <si>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</si>
  <si>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</si>
  <si>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</si>
  <si>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</si>
  <si>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</si>
  <si>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</si>
  <si>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</si>
  <si>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</si>
  <si>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</si>
  <si>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</si>
  <si>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</si>
  <si>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</si>
  <si>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</si>
  <si>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</si>
  <si>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</si>
  <si>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</si>
  <si>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</si>
  <si>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</si>
  <si>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</si>
  <si>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</si>
  <si>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</si>
  <si>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</si>
  <si>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</si>
  <si>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</si>
  <si>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</si>
  <si>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</si>
  <si>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</si>
  <si>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</si>
  <si>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</si>
  <si>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</si>
  <si>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</si>
  <si>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</si>
  <si>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</si>
  <si>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</si>
  <si>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</si>
  <si>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</si>
  <si>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</si>
  <si>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</si>
  <si>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</si>
  <si>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</si>
  <si>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</si>
  <si>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</si>
  <si>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</si>
  <si>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</si>
  <si>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</si>
  <si>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</si>
  <si>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</si>
  <si>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</si>
  <si>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</si>
  <si>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</si>
  <si>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</si>
  <si>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</si>
  <si>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</si>
  <si>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</si>
  <si>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</si>
  <si>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</si>
  <si>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</si>
  <si>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</si>
  <si>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</si>
  <si>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</si>
  <si>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</si>
  <si>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</si>
  <si>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</si>
  <si>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</si>
  <si>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</si>
  <si>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</si>
  <si>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</si>
  <si>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</si>
  <si>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</si>
  <si>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</si>
  <si>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</si>
  <si>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</si>
  <si>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</si>
  <si>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</si>
  <si>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</si>
  <si>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</si>
  <si>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</si>
  <si>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</si>
  <si>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</si>
  <si>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</si>
  <si>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</si>
  <si>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</si>
  <si>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</si>
  <si>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</si>
  <si>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</si>
  <si>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</si>
  <si>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</si>
  <si>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</si>
  <si>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</si>
  <si>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</si>
  <si>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</si>
  <si>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</si>
  <si>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</si>
  <si>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</si>
  <si>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</si>
  <si>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</si>
  <si>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</si>
  <si>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</si>
  <si>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</si>
  <si>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</si>
  <si>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</si>
  <si>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</si>
  <si>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</si>
  <si>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</si>
  <si>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</si>
  <si>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</si>
  <si>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</si>
  <si>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</si>
  <si>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</si>
  <si>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</si>
  <si>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</si>
  <si>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</si>
  <si>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</si>
  <si>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</si>
  <si>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</si>
  <si>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</si>
  <si>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</si>
  <si>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</si>
  <si>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</si>
  <si>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</si>
  <si>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</si>
  <si>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</si>
  <si>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</si>
  <si>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</si>
  <si>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</si>
  <si>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</si>
  <si>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</si>
  <si>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</si>
  <si>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</si>
  <si>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</si>
  <si>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</si>
  <si>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</si>
  <si>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</si>
  <si>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</si>
  <si>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</si>
  <si>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</si>
  <si>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</si>
  <si>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</si>
  <si>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</si>
  <si>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</si>
  <si>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</si>
  <si>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</si>
  <si>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</si>
  <si>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</si>
  <si>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</si>
  <si>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</si>
  <si>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</si>
  <si>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</si>
  <si>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</si>
  <si>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</si>
  <si>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</si>
  <si>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</si>
  <si>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</si>
  <si>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</si>
  <si>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</si>
  <si>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</si>
  <si>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</si>
  <si>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</si>
  <si>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</si>
  <si>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</si>
  <si>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</si>
  <si>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</si>
  <si>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</si>
  <si>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</si>
  <si>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</si>
  <si>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</si>
  <si>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</si>
  <si>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</si>
  <si>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</si>
  <si>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</si>
  <si>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</si>
  <si>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</si>
  <si>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</si>
  <si>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</si>
  <si>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</si>
  <si>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</si>
  <si>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</si>
  <si>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</si>
  <si>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</si>
  <si>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</si>
  <si>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</si>
  <si>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</si>
  <si>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</si>
  <si>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</si>
  <si>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</si>
  <si>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</si>
  <si>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</si>
  <si>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</si>
  <si>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</si>
  <si>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</si>
  <si>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</si>
  <si>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</si>
  <si>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</si>
  <si>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</si>
  <si>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</si>
  <si>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</si>
  <si>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</si>
  <si>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</si>
  <si>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</si>
  <si>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</si>
  <si>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</si>
  <si>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</si>
  <si>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</si>
  <si>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</si>
  <si>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</si>
  <si>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</si>
  <si>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</si>
  <si>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</si>
  <si>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</si>
  <si>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</si>
  <si>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</si>
  <si>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</si>
  <si>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</si>
  <si>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</si>
  <si>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</si>
  <si>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</si>
  <si>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</si>
  <si>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</si>
  <si>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</si>
  <si>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</si>
  <si>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</si>
  <si>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</si>
  <si>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</si>
  <si>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</si>
  <si>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</si>
  <si>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</si>
  <si>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</si>
  <si>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</si>
  <si>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</si>
  <si>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</si>
  <si>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</si>
  <si>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</si>
  <si>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</si>
  <si>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</si>
  <si>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</si>
  <si>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</si>
  <si>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</si>
  <si>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</si>
  <si>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</si>
  <si>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</si>
  <si>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</si>
  <si>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</si>
  <si>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</si>
  <si>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</si>
  <si>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</si>
  <si>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</si>
  <si>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</si>
  <si>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</si>
  <si>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</si>
  <si>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</si>
  <si>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</si>
  <si>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</si>
  <si>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</si>
  <si>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</si>
  <si>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</si>
  <si>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</si>
  <si>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</si>
  <si>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</si>
  <si>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</si>
  <si>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</si>
  <si>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</si>
  <si>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</si>
  <si>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</si>
  <si>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</si>
  <si>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</si>
  <si>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</si>
  <si>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</si>
  <si>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</si>
  <si>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</si>
  <si>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</si>
  <si>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</si>
  <si>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</si>
  <si>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</si>
  <si>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</si>
  <si>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</si>
  <si>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</si>
  <si>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</si>
  <si>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</si>
  <si>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</si>
  <si>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</si>
  <si>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</si>
  <si>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</si>
  <si>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</si>
  <si>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</si>
  <si>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</si>
  <si>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</si>
  <si>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</si>
  <si>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</si>
  <si>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</si>
  <si>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</si>
  <si>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</si>
  <si>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</si>
  <si>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</si>
  <si>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</si>
  <si>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</si>
  <si>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</si>
  <si>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</si>
  <si>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</si>
  <si>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</si>
  <si>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</si>
  <si>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</si>
  <si>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</si>
  <si>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</si>
  <si>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</si>
  <si>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</si>
  <si>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</si>
  <si>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</si>
  <si>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</si>
  <si>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</si>
  <si>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</si>
  <si>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</si>
  <si>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</si>
  <si>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</si>
  <si>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</si>
  <si>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</si>
  <si>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</si>
  <si>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</si>
  <si>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</si>
  <si>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</si>
  <si>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</si>
  <si>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</si>
  <si>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</si>
  <si>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</si>
  <si>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</si>
  <si>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</si>
  <si>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</si>
  <si>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</si>
  <si>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</si>
  <si>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</si>
  <si>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</si>
  <si>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</si>
  <si>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</si>
  <si>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</si>
  <si>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</si>
  <si>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</si>
  <si>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</si>
  <si>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</si>
  <si>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</si>
  <si>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</si>
  <si>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</si>
  <si>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</si>
  <si>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</si>
  <si>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</si>
  <si>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</si>
  <si>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</si>
  <si>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</si>
  <si>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</si>
  <si>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</si>
  <si>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</si>
  <si>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</si>
  <si>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</si>
  <si>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</si>
  <si>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</si>
  <si>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</si>
  <si>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</si>
  <si>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</si>
  <si>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</si>
  <si>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</si>
  <si>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</si>
  <si>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</si>
  <si>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</si>
  <si>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</si>
  <si>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</si>
  <si>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</si>
  <si>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</si>
  <si>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</si>
  <si>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</si>
  <si>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</si>
  <si>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</si>
  <si>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</si>
  <si>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</si>
  <si>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</si>
  <si>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</si>
  <si>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</si>
  <si>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</si>
  <si>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</si>
  <si>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</si>
  <si>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</si>
  <si>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</si>
  <si>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</si>
  <si>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</si>
  <si>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</si>
  <si>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</si>
  <si>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</si>
  <si>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</si>
  <si>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</si>
  <si>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</si>
  <si>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</si>
  <si>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</si>
  <si>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</si>
  <si>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</si>
  <si>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</si>
  <si>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</si>
  <si>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</si>
  <si>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</si>
  <si>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</si>
  <si>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</si>
  <si>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</si>
  <si>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</si>
  <si>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</si>
  <si>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</si>
  <si>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</si>
  <si>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</si>
  <si>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</si>
  <si>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</si>
  <si>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</si>
  <si>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</si>
  <si>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</si>
  <si>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</si>
  <si>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</si>
  <si>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</si>
  <si>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</si>
  <si>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</si>
  <si>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</si>
  <si>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</si>
  <si>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</si>
  <si>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</si>
  <si>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</si>
  <si>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</si>
  <si>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</si>
  <si>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</si>
  <si>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</si>
  <si>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</si>
  <si>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</si>
  <si>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</si>
  <si>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</si>
  <si>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</si>
  <si>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</si>
  <si>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</si>
  <si>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</si>
  <si>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</si>
  <si>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</si>
  <si>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</si>
  <si>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</si>
  <si>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</si>
  <si>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</si>
  <si>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</si>
  <si>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</si>
  <si>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</si>
  <si>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</si>
  <si>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</si>
  <si>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</si>
  <si>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</si>
  <si>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</si>
  <si>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</si>
  <si>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</si>
  <si>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</si>
  <si>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</si>
  <si>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</si>
  <si>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</si>
  <si>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</si>
  <si>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</si>
  <si>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</si>
  <si>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</si>
  <si>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</si>
  <si>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</si>
  <si>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</si>
  <si>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</si>
  <si>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</si>
  <si>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</si>
  <si>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</si>
  <si>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</si>
  <si>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</si>
  <si>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</si>
  <si>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</si>
  <si>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</si>
  <si>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</si>
  <si>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</si>
  <si>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</si>
  <si>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</si>
  <si>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</si>
  <si>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</si>
  <si>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</si>
  <si>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</si>
  <si>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</si>
  <si>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</si>
  <si>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</si>
  <si>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</si>
  <si>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</si>
  <si>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</si>
  <si>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</si>
  <si>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</si>
  <si>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</si>
  <si>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</si>
  <si>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</si>
  <si>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</si>
  <si>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</si>
  <si>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</si>
  <si>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</si>
  <si>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</si>
  <si>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</si>
  <si>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</si>
  <si>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</si>
  <si>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</si>
  <si>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</si>
  <si>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</si>
  <si>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</si>
  <si>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</si>
  <si>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</si>
  <si>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</si>
  <si>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</si>
  <si>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</si>
  <si>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</si>
  <si>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</si>
  <si>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</si>
  <si>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</si>
  <si>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</si>
  <si>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</si>
  <si>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</si>
  <si>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</si>
  <si>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</si>
  <si>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</si>
  <si>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</si>
  <si>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</si>
  <si>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</si>
  <si>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</si>
  <si>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</si>
  <si>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</si>
  <si>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</si>
  <si>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</si>
  <si>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</si>
  <si>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</si>
  <si>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</si>
  <si>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</si>
  <si>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</si>
  <si>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</si>
  <si>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</si>
  <si>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</si>
  <si>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</si>
  <si>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</si>
  <si>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</si>
  <si>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</si>
  <si>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</si>
  <si>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</si>
  <si>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</si>
  <si>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</si>
  <si>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</si>
  <si>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</si>
  <si>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</si>
  <si>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</si>
  <si>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</si>
  <si>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</si>
  <si>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</si>
  <si>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</si>
  <si>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</si>
  <si>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</si>
  <si>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</si>
  <si>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</si>
  <si>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</si>
  <si>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</si>
  <si>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</si>
  <si>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</si>
  <si>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</si>
  <si>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</si>
  <si>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</si>
  <si>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</si>
  <si>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</si>
  <si>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</si>
  <si>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</si>
  <si>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</si>
  <si>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</si>
  <si>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</si>
  <si>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</si>
  <si>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</si>
  <si>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</si>
  <si>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</si>
  <si>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</si>
  <si>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</si>
  <si>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</si>
  <si>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</si>
  <si>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</si>
  <si>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</si>
  <si>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</si>
  <si>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</si>
  <si>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</si>
  <si>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</si>
  <si>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</si>
  <si>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</si>
  <si>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</si>
  <si>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</si>
  <si>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</si>
  <si>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</si>
  <si>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</si>
  <si>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</si>
  <si>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</si>
  <si>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</si>
  <si>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</si>
  <si>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</si>
  <si>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</si>
  <si>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</si>
  <si>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</si>
  <si>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</si>
  <si>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</si>
  <si>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</si>
  <si>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</si>
  <si>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</si>
  <si>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</si>
  <si>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</si>
  <si>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</si>
  <si>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</si>
  <si>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</si>
  <si>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</si>
  <si>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</si>
  <si>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</si>
  <si>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</si>
  <si>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</si>
  <si>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</si>
  <si>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</si>
  <si>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</si>
  <si>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</si>
  <si>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</si>
  <si>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</si>
  <si>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</si>
  <si>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</si>
  <si>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</si>
  <si>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</si>
  <si>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</si>
  <si>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</si>
  <si>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</si>
  <si>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</si>
  <si>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</si>
  <si>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</si>
  <si>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</si>
  <si>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</si>
  <si>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</si>
  <si>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</si>
  <si>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</si>
  <si>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</si>
  <si>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</si>
  <si>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</si>
  <si>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</si>
  <si>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</si>
  <si>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</si>
  <si>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</si>
  <si>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</si>
  <si>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</si>
  <si>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</si>
  <si>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</si>
  <si>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</si>
  <si>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</si>
  <si>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</si>
  <si>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</si>
  <si>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</si>
  <si>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</si>
  <si>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</si>
  <si>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</si>
  <si>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</si>
  <si>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</si>
  <si>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</si>
  <si>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</si>
  <si>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</si>
  <si>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</si>
  <si>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</si>
  <si>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</si>
  <si>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</si>
  <si>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</si>
  <si>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</si>
  <si>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</si>
  <si>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</si>
  <si>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</si>
  <si>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</si>
  <si>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</si>
  <si>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</si>
  <si>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</si>
  <si>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</si>
  <si>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</si>
  <si>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</si>
  <si>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</si>
  <si>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</si>
  <si>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</si>
  <si>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</si>
  <si>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</si>
  <si>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</si>
  <si>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</si>
  <si>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</si>
  <si>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</si>
  <si>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</si>
  <si>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</si>
  <si>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</si>
  <si>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</si>
  <si>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</si>
  <si>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</si>
  <si>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</si>
  <si>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</si>
  <si>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</si>
  <si>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</si>
  <si>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</si>
  <si>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</si>
  <si>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</si>
  <si>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</si>
  <si>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</si>
  <si>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</si>
  <si>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</si>
  <si>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</si>
  <si>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</si>
  <si>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</si>
  <si>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</si>
  <si>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</si>
  <si>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</si>
  <si>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</si>
  <si>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</si>
  <si>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</si>
  <si>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</si>
  <si>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</si>
  <si>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</si>
  <si>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</si>
  <si>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</si>
  <si>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</si>
  <si>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</si>
  <si>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</si>
  <si>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</si>
  <si>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</si>
  <si>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</si>
  <si>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</si>
  <si>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</si>
  <si>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</si>
  <si>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</si>
  <si>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</si>
  <si>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</si>
  <si>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</si>
  <si>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</si>
  <si>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</si>
  <si>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</si>
  <si>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</si>
  <si>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</si>
  <si>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</si>
  <si>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</si>
  <si>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</si>
  <si>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</si>
  <si>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</si>
  <si>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</si>
  <si>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</si>
  <si>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</si>
  <si>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</si>
  <si>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</si>
  <si>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</si>
  <si>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</si>
  <si>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</si>
  <si>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</si>
  <si>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</si>
  <si>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</si>
  <si>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</si>
  <si>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</si>
  <si>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</si>
  <si>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</si>
  <si>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</si>
  <si>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</si>
  <si>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</si>
  <si>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</si>
  <si>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</si>
  <si>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</si>
  <si>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</si>
  <si>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</si>
  <si>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</si>
  <si>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</si>
  <si>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</si>
  <si>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</si>
  <si>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</si>
  <si>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</si>
  <si>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</si>
  <si>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</si>
  <si>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</si>
  <si>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</si>
  <si>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</si>
  <si>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</si>
  <si>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</si>
  <si>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</si>
  <si>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</si>
  <si>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</si>
  <si>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</si>
  <si>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</si>
  <si>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</si>
  <si>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</si>
  <si>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</si>
  <si>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</si>
  <si>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</si>
  <si>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</si>
  <si>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</si>
  <si>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</si>
  <si>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</si>
  <si>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</si>
  <si>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</si>
  <si>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</si>
  <si>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</si>
  <si>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</si>
  <si>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</si>
  <si>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</si>
  <si>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</si>
  <si>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</si>
  <si>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</si>
  <si>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</si>
  <si>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</si>
  <si>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</si>
  <si>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</si>
  <si>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</si>
  <si>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</si>
  <si>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</si>
  <si>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</si>
  <si>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</si>
  <si>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</si>
  <si>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</si>
  <si>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</si>
  <si>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</si>
  <si>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</si>
  <si>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</si>
  <si>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</si>
  <si>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</si>
  <si>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</si>
  <si>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</si>
  <si>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</si>
  <si>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</si>
  <si>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</si>
  <si>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</si>
  <si>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</si>
  <si>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</si>
  <si>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</si>
  <si>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</si>
  <si>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</si>
  <si>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</si>
  <si>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</si>
  <si>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</si>
  <si>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</si>
  <si>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</si>
  <si>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</si>
  <si>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</si>
  <si>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</si>
  <si>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</si>
  <si>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</si>
  <si>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</si>
  <si>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</si>
  <si>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</si>
  <si>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</si>
  <si>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</si>
  <si>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</si>
  <si>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</si>
  <si>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</si>
  <si>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</si>
  <si>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</si>
  <si>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</si>
  <si>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</si>
  <si>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</si>
  <si>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</si>
  <si>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</si>
  <si>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</si>
  <si>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</si>
  <si>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</si>
  <si>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</si>
  <si>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</si>
  <si>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</si>
  <si>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</si>
  <si>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</si>
  <si>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</si>
  <si>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</si>
  <si>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</si>
  <si>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</si>
  <si>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</si>
  <si>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</si>
  <si>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</si>
  <si>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</si>
  <si>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</si>
  <si>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</si>
  <si>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</si>
  <si>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</si>
  <si>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</si>
  <si>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</si>
  <si>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</si>
  <si>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</si>
  <si>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</si>
  <si>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</si>
  <si>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</si>
  <si>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</si>
  <si>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</si>
  <si>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</si>
  <si>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</si>
  <si>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</si>
  <si>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</si>
  <si>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</si>
  <si>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</si>
  <si>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</si>
  <si>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</si>
  <si>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</si>
  <si>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</si>
  <si>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</si>
  <si>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</si>
  <si>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</si>
  <si>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</si>
  <si>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</si>
  <si>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</si>
  <si>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</si>
  <si>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</si>
  <si>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</si>
  <si>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</si>
  <si>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</si>
  <si>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</si>
  <si>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</si>
  <si>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</si>
  <si>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</si>
  <si>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</si>
  <si>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</si>
  <si>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</si>
  <si>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</si>
  <si>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</si>
  <si>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</si>
  <si>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</si>
  <si>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</si>
  <si>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</si>
  <si>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</si>
  <si>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</si>
  <si>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</si>
  <si>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</si>
  <si>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</si>
  <si>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</si>
  <si>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</si>
  <si>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</si>
  <si>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</si>
  <si>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</si>
  <si>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</si>
  <si>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</si>
  <si>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</si>
  <si>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</si>
  <si>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</si>
  <si>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</si>
  <si>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</si>
  <si>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</si>
  <si>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</si>
  <si>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</si>
  <si>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</si>
  <si>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</si>
  <si>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</si>
  <si>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</si>
  <si>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</si>
  <si>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</si>
  <si>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</si>
  <si>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</si>
  <si>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</si>
  <si>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2284 SVEUČILIŠTE J.J STROSSMAYERA U OSIJEKU - EKONOMSKI FAKULTET</t>
  </si>
  <si>
    <t>Jelena Mihaljević</t>
  </si>
  <si>
    <t>031/224-404</t>
  </si>
  <si>
    <t>jelena.mihaljevic@efos.hr</t>
  </si>
  <si>
    <t>Modern logistics learning: Certified module on master study level</t>
  </si>
  <si>
    <t>01.09.2017.</t>
  </si>
  <si>
    <t>31.10.2020.</t>
  </si>
  <si>
    <t>Poznan School of Logistics, Poznan, Poland</t>
  </si>
  <si>
    <t>Razvijanje inovativnog i certificiranog nastavnog plana  obrazovnog modula u logistici</t>
  </si>
  <si>
    <t>ARDENT-Advancing Rural Development through Entrepreneurship Education for Adults</t>
  </si>
  <si>
    <t>01.09.2019.</t>
  </si>
  <si>
    <t>Fachhochschule Munster Germany</t>
  </si>
  <si>
    <t>Projekt ima za cilj poboljšati prijenos nadležnosti sa visokih učilišta u smislu cjeloživotnog učenja odraslim zajednicama u ruralnim područjima</t>
  </si>
  <si>
    <t>Izvrsnost i učinkovitost u visokom obrazovanju u polju ekonomije (E4)</t>
  </si>
  <si>
    <t>Sveučilište u Splitu, Ekonomski fakultet</t>
  </si>
  <si>
    <t>Cilj projekta je poboljšanje kvalitete, relevantnosti i učinkovitosti visokog obrazovanja kroz razvoj standarda zanimanja i standarda kvalifikacija u polju ekonomije</t>
  </si>
  <si>
    <t>Osijek, 16. prosinca 2019. godine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</si>
</sst>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6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  <xf numFmtId="0" fontId="22" fillId="0" borderId="0"/>
  </cellStyleXfs>
  <cellXfs count="28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4" fontId="0" fillId="0" borderId="0" xfId="0" applyNumberFormat="1" applyProtection="1">
      <protection locked="0"/>
    </xf>
    <xf numFmtId="4" fontId="0" fillId="0" borderId="13" xfId="0" applyNumberFormat="1" applyBorder="1" applyProtection="1"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6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_DOZNAKA NOVCA 2" xfId="75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workbookViewId="0">
      <selection activeCell="C4" sqref="C4:E4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7" t="s">
        <v>1665</v>
      </c>
      <c r="D3" s="258"/>
      <c r="E3" s="259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customHeight="1" thickBot="1">
      <c r="A4" s="156"/>
      <c r="B4" s="209" t="s">
        <v>0</v>
      </c>
      <c r="C4" s="260" t="s">
        <v>1681</v>
      </c>
      <c r="D4" s="261"/>
      <c r="E4" s="262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60" t="s">
        <v>1666</v>
      </c>
      <c r="D5" s="261"/>
      <c r="E5" s="262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60" t="s">
        <v>1667</v>
      </c>
      <c r="D6" s="261"/>
      <c r="E6" s="262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60" t="s">
        <v>1668</v>
      </c>
      <c r="D7" s="261"/>
      <c r="E7" s="262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6" t="s">
        <v>842</v>
      </c>
      <c r="C9" s="255"/>
      <c r="D9" s="255"/>
      <c r="E9" s="255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6" t="s">
        <v>3</v>
      </c>
      <c r="C10" s="255"/>
      <c r="D10" s="255"/>
      <c r="E10" s="255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4"/>
      <c r="C11" s="255"/>
      <c r="D11" s="255"/>
      <c r="E11" s="255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36338359</v>
      </c>
      <c r="D14" s="173">
        <f>+D15+D16</f>
        <v>37301415</v>
      </c>
      <c r="E14" s="173">
        <f>+E15+E16</f>
        <v>37158253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36330759</v>
      </c>
      <c r="D15" s="176">
        <f>'PLAN PRIHODA I PRIMITAKA '!C62</f>
        <v>37293915</v>
      </c>
      <c r="E15" s="176">
        <f>'PLAN PRIHODA I PRIMITAKA '!C98</f>
        <v>37150853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7600</v>
      </c>
      <c r="D16" s="176">
        <f>'PLAN PRIHODA I PRIMITAKA '!C69</f>
        <v>7500</v>
      </c>
      <c r="E16" s="176">
        <f>'PLAN PRIHODA I PRIMITAKA '!C105</f>
        <v>7400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41098559</v>
      </c>
      <c r="D17" s="180">
        <f>+D18+D19</f>
        <v>41649865</v>
      </c>
      <c r="E17" s="180">
        <f>+E18+E19</f>
        <v>36602466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35263959</v>
      </c>
      <c r="D18" s="182">
        <f>'PLAN RASHODA I IZDATAKA'!C72</f>
        <v>36245365</v>
      </c>
      <c r="E18" s="182">
        <f>'PLAN RASHODA I IZDATAKA'!C92</f>
        <v>36138066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5834600</v>
      </c>
      <c r="D19" s="182">
        <f>'PLAN RASHODA I IZDATAKA'!C80</f>
        <v>5404500</v>
      </c>
      <c r="E19" s="182">
        <f>'PLAN RASHODA I IZDATAKA'!C100</f>
        <v>464400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-4760200</v>
      </c>
      <c r="D20" s="173">
        <f>+D14-D17</f>
        <v>-4348450</v>
      </c>
      <c r="E20" s="173">
        <f>+E14-E17</f>
        <v>555787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4"/>
      <c r="C21" s="255"/>
      <c r="D21" s="255"/>
      <c r="E21" s="255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37578000</v>
      </c>
      <c r="D23" s="181">
        <f>'PLAN PRIHODA I PRIMITAKA '!C41</f>
        <v>32817800</v>
      </c>
      <c r="E23" s="181">
        <f>'PLAN PRIHODA I PRIMITAKA '!C77</f>
        <v>28469350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-32817800</v>
      </c>
      <c r="D24" s="185">
        <f>'PLAN PRIHODA I PRIMITAKA '!C43</f>
        <v>-28469350</v>
      </c>
      <c r="E24" s="186">
        <f>'PLAN PRIHODA I PRIMITAKA '!C79</f>
        <v>-29025137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4"/>
      <c r="C25" s="255"/>
      <c r="D25" s="255"/>
      <c r="E25" s="255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4"/>
      <c r="C30" s="255"/>
      <c r="D30" s="255"/>
      <c r="E30" s="255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tabSelected="1" zoomScaleNormal="100" workbookViewId="0">
      <pane ySplit="2" topLeftCell="A3" activePane="bottomLeft" state="frozen"/>
      <selection pane="bottomLeft" activeCell="H8" sqref="H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3" t="s">
        <v>812</v>
      </c>
      <c r="B1" s="263"/>
      <c r="C1" s="263"/>
      <c r="D1" s="263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23663359</v>
      </c>
      <c r="H3" s="198">
        <v>24814265</v>
      </c>
      <c r="I3" s="198">
        <v>24870466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52</v>
      </c>
      <c r="D4" s="140" t="str">
        <f t="shared" si="1"/>
        <v>Ostale pomoći</v>
      </c>
      <c r="E4" s="153">
        <v>6393</v>
      </c>
      <c r="F4" s="141" t="str">
        <f t="shared" ref="F4:F66" si="2">IFERROR(VLOOKUP(E4,$R$6:$U$73,2,FALSE),"")</f>
        <v>Tekući prijenosi između proračunskih korisnika istog proračuna temeljem prijenosa EU sredstava</v>
      </c>
      <c r="G4" s="198">
        <v>95000</v>
      </c>
      <c r="H4" s="198">
        <v>95000</v>
      </c>
      <c r="I4" s="198">
        <v>95000</v>
      </c>
      <c r="K4" s="144" t="str">
        <f t="shared" ref="K4:K67" si="3">LEFT(E4,3)</f>
        <v>639</v>
      </c>
      <c r="L4" s="144" t="str">
        <f t="shared" ref="L4:L67" si="4">LEFT(E4,2)</f>
        <v>63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31</v>
      </c>
      <c r="D5" s="140" t="str">
        <f t="shared" si="1"/>
        <v>Vlastiti prihodi</v>
      </c>
      <c r="E5" s="153">
        <v>6614</v>
      </c>
      <c r="F5" s="141" t="str">
        <f t="shared" si="2"/>
        <v>Prihodi od prodaje proizvoda i robe</v>
      </c>
      <c r="G5" s="198">
        <v>140000</v>
      </c>
      <c r="H5" s="198">
        <v>135000</v>
      </c>
      <c r="I5" s="198">
        <v>130000</v>
      </c>
      <c r="K5" s="144" t="str">
        <f t="shared" si="3"/>
        <v>661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31</v>
      </c>
      <c r="D6" s="140" t="str">
        <f t="shared" si="1"/>
        <v>Vlastiti prihodi</v>
      </c>
      <c r="E6" s="153">
        <v>6615</v>
      </c>
      <c r="F6" s="141" t="str">
        <f t="shared" si="2"/>
        <v>Prihodi od pruženih usluga</v>
      </c>
      <c r="G6" s="198">
        <v>2404000</v>
      </c>
      <c r="H6" s="198">
        <v>2350250</v>
      </c>
      <c r="I6" s="198">
        <v>2296500</v>
      </c>
      <c r="K6" s="144" t="str">
        <f t="shared" si="3"/>
        <v>661</v>
      </c>
      <c r="L6" s="144" t="str">
        <f t="shared" si="4"/>
        <v>66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43</v>
      </c>
      <c r="D7" s="140" t="str">
        <f t="shared" si="1"/>
        <v>Ostali prihodi za posebne namjene</v>
      </c>
      <c r="E7" s="153">
        <v>65264</v>
      </c>
      <c r="F7" s="141" t="str">
        <f t="shared" si="2"/>
        <v>Sufinanciranje cijene usluge, participacije i slično</v>
      </c>
      <c r="G7" s="198">
        <v>9285300</v>
      </c>
      <c r="H7" s="198">
        <v>9206300</v>
      </c>
      <c r="I7" s="198">
        <v>9115787</v>
      </c>
      <c r="K7" s="144" t="str">
        <f t="shared" si="3"/>
        <v>652</v>
      </c>
      <c r="L7" s="144" t="str">
        <f t="shared" si="4"/>
        <v>65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43</v>
      </c>
      <c r="D8" s="140" t="str">
        <f t="shared" si="1"/>
        <v>Ostali prihodi za posebne namjene</v>
      </c>
      <c r="E8" s="153">
        <v>65268</v>
      </c>
      <c r="F8" s="141" t="str">
        <f t="shared" si="2"/>
        <v>Ostali prihodi za posebne namjene</v>
      </c>
      <c r="G8" s="198">
        <v>400000</v>
      </c>
      <c r="H8" s="198">
        <v>350000</v>
      </c>
      <c r="I8" s="198">
        <v>300000</v>
      </c>
      <c r="K8" s="144" t="str">
        <f t="shared" si="3"/>
        <v>652</v>
      </c>
      <c r="L8" s="144" t="str">
        <f t="shared" si="4"/>
        <v>65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51</v>
      </c>
      <c r="D9" s="140" t="str">
        <f t="shared" si="1"/>
        <v>Pomoći EU</v>
      </c>
      <c r="E9" s="153">
        <v>632311700</v>
      </c>
      <c r="F9" s="141" t="str">
        <f t="shared" si="2"/>
        <v>Tekuće pomoći od institucija i tijela EU - ostalo</v>
      </c>
      <c r="G9" s="198">
        <v>200000</v>
      </c>
      <c r="H9" s="198">
        <v>200000</v>
      </c>
      <c r="I9" s="198">
        <v>200000</v>
      </c>
      <c r="K9" s="144" t="str">
        <f t="shared" si="3"/>
        <v>632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31</v>
      </c>
      <c r="D10" s="140" t="str">
        <f t="shared" si="1"/>
        <v>Vlastiti prihodi</v>
      </c>
      <c r="E10" s="153">
        <v>641320031</v>
      </c>
      <c r="F10" s="141" t="str">
        <f t="shared" si="2"/>
        <v>Kamate na depozite po viđenju izvor 31</v>
      </c>
      <c r="G10" s="198">
        <v>100000</v>
      </c>
      <c r="H10" s="198">
        <v>100000</v>
      </c>
      <c r="I10" s="198">
        <v>100000</v>
      </c>
      <c r="K10" s="144" t="str">
        <f t="shared" si="3"/>
        <v>641</v>
      </c>
      <c r="L10" s="144" t="str">
        <f t="shared" si="4"/>
        <v>64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61</v>
      </c>
      <c r="D11" s="140" t="str">
        <f t="shared" si="1"/>
        <v>Donacije</v>
      </c>
      <c r="E11" s="153">
        <v>663130000</v>
      </c>
      <c r="F11" s="141" t="str">
        <f t="shared" si="2"/>
        <v>Tekuće donacije od trgovačkih društava</v>
      </c>
      <c r="G11" s="198">
        <v>20000</v>
      </c>
      <c r="H11" s="198">
        <v>20000</v>
      </c>
      <c r="I11" s="198">
        <v>20000</v>
      </c>
      <c r="K11" s="144" t="str">
        <f t="shared" si="3"/>
        <v>663</v>
      </c>
      <c r="L11" s="144" t="str">
        <f t="shared" si="4"/>
        <v>66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71</v>
      </c>
      <c r="D12" s="140" t="str">
        <f t="shared" si="1"/>
        <v>Prihodi od nefin. imovine i nadoknade štete s osnova osig.</v>
      </c>
      <c r="E12" s="153">
        <v>721110071</v>
      </c>
      <c r="F12" s="141" t="str">
        <f t="shared" si="2"/>
        <v>Stambeni objekti za zaposlene izvor 71</v>
      </c>
      <c r="G12" s="198">
        <v>7600</v>
      </c>
      <c r="H12" s="198">
        <v>7500</v>
      </c>
      <c r="I12" s="198">
        <v>7400</v>
      </c>
      <c r="K12" s="144" t="str">
        <f t="shared" si="3"/>
        <v>721</v>
      </c>
      <c r="L12" s="144" t="str">
        <f t="shared" si="4"/>
        <v>72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52</v>
      </c>
      <c r="D13" s="140" t="str">
        <f t="shared" si="1"/>
        <v>Ostale pomoći</v>
      </c>
      <c r="E13" s="153">
        <v>6341</v>
      </c>
      <c r="F13" s="141" t="str">
        <f t="shared" si="2"/>
        <v>Tekuće pomoći od ostalih subjekata unutar općeg proračuna</v>
      </c>
      <c r="G13" s="198">
        <v>23100</v>
      </c>
      <c r="H13" s="198">
        <v>23100</v>
      </c>
      <c r="I13" s="198">
        <v>23100</v>
      </c>
      <c r="K13" s="144" t="str">
        <f t="shared" si="3"/>
        <v>634</v>
      </c>
      <c r="L13" s="144" t="str">
        <f t="shared" si="4"/>
        <v>63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253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xWindow="815" yWindow="900"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E125" sqref="E125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4" t="s">
        <v>811</v>
      </c>
      <c r="B1" s="264"/>
      <c r="C1" s="264"/>
      <c r="D1" s="264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80</v>
      </c>
      <c r="H3" s="149" t="str">
        <f>IFERROR(VLOOKUP(G3,$X$6:$Y$50,2,FALSE),"")</f>
        <v>REDOVNA DJELATNOST SVEUČILIŠTA U OSIJEKU</v>
      </c>
      <c r="I3" s="198">
        <v>17388312</v>
      </c>
      <c r="J3" s="198">
        <v>18143136</v>
      </c>
      <c r="K3" s="198">
        <v>18167274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31</v>
      </c>
      <c r="D4" s="149" t="str">
        <f t="shared" ref="D4:D67" si="1">IFERROR(VLOOKUP(C4,$O$6:$P$16,2,FALSE),"")</f>
        <v>Vlastiti prihodi</v>
      </c>
      <c r="E4" s="154">
        <v>3111</v>
      </c>
      <c r="F4" s="149" t="str">
        <f t="shared" si="0"/>
        <v>Plaće za redovan rad</v>
      </c>
      <c r="G4" s="201" t="s">
        <v>197</v>
      </c>
      <c r="H4" s="149" t="str">
        <f t="shared" ref="H4:H67" si="2">IFERROR(VLOOKUP(G4,$X$6:$Y$50,2,FALSE),"")</f>
        <v>REDOVNA DJELATNOST SVEUČILIŠTA U OSIJEKU (IZ EVIDENCIJSKIH PRIHODA)</v>
      </c>
      <c r="I4" s="198">
        <v>650000</v>
      </c>
      <c r="J4" s="198">
        <v>600000</v>
      </c>
      <c r="K4" s="198">
        <v>550000</v>
      </c>
      <c r="M4" s="144" t="str">
        <f t="shared" ref="M4:M67" si="3">LEFT(E4,3)</f>
        <v>311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43</v>
      </c>
      <c r="D5" s="149" t="str">
        <f t="shared" si="1"/>
        <v>Ostali prihodi za posebne namjene</v>
      </c>
      <c r="E5" s="154">
        <v>3111</v>
      </c>
      <c r="F5" s="149" t="str">
        <f t="shared" si="0"/>
        <v>Plaće za redovan rad</v>
      </c>
      <c r="G5" s="201" t="s">
        <v>197</v>
      </c>
      <c r="H5" s="149" t="str">
        <f t="shared" si="2"/>
        <v>REDOVNA DJELATNOST SVEUČILIŠTA U OSIJEKU (IZ EVIDENCIJSKIH PRIHODA)</v>
      </c>
      <c r="I5" s="198">
        <v>4207000</v>
      </c>
      <c r="J5" s="198">
        <v>4107000</v>
      </c>
      <c r="K5" s="198">
        <v>4007000</v>
      </c>
      <c r="M5" s="144" t="str">
        <f t="shared" si="3"/>
        <v>311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52</v>
      </c>
      <c r="D6" s="149" t="str">
        <f t="shared" si="1"/>
        <v>Ostale pomoći</v>
      </c>
      <c r="E6" s="154">
        <v>3121</v>
      </c>
      <c r="F6" s="149" t="str">
        <f t="shared" si="0"/>
        <v>Ostali rashodi za zaposlene</v>
      </c>
      <c r="G6" s="201" t="s">
        <v>111</v>
      </c>
      <c r="H6" s="149" t="str">
        <f t="shared" si="2"/>
        <v>EU PROJEKTI SVEUČILIŠTA U OSIJEKU (IZ EVIDENCIJSKIH PRIHODA)</v>
      </c>
      <c r="I6" s="198">
        <v>0</v>
      </c>
      <c r="J6" s="198">
        <v>0</v>
      </c>
      <c r="K6" s="198">
        <v>0</v>
      </c>
      <c r="M6" s="144" t="str">
        <f t="shared" si="3"/>
        <v>312</v>
      </c>
      <c r="N6" s="144" t="str">
        <f t="shared" si="4"/>
        <v>31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43</v>
      </c>
      <c r="D7" s="149" t="str">
        <f t="shared" si="1"/>
        <v>Ostali prihodi za posebne namjene</v>
      </c>
      <c r="E7" s="154">
        <v>3132</v>
      </c>
      <c r="F7" s="149" t="str">
        <f t="shared" si="0"/>
        <v>Doprinosi za obvezno zdravstveno osiguranje</v>
      </c>
      <c r="G7" s="201" t="s">
        <v>197</v>
      </c>
      <c r="H7" s="149" t="str">
        <f t="shared" si="2"/>
        <v>REDOVNA DJELATNOST SVEUČILIŠTA U OSIJEKU (IZ EVIDENCIJSKIH PRIHODA)</v>
      </c>
      <c r="I7" s="198">
        <v>694155</v>
      </c>
      <c r="J7" s="198">
        <v>677655</v>
      </c>
      <c r="K7" s="198">
        <v>661155</v>
      </c>
      <c r="M7" s="144" t="str">
        <f t="shared" si="3"/>
        <v>313</v>
      </c>
      <c r="N7" s="144" t="str">
        <f t="shared" si="4"/>
        <v>31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3211</v>
      </c>
      <c r="F8" s="149" t="str">
        <f t="shared" si="0"/>
        <v>Službena putovanja</v>
      </c>
      <c r="G8" s="201" t="s">
        <v>80</v>
      </c>
      <c r="H8" s="149" t="str">
        <f t="shared" si="2"/>
        <v>REDOVNA DJELATNOST SVEUČILIŠTA U OSIJEKU</v>
      </c>
      <c r="I8" s="198">
        <v>0</v>
      </c>
      <c r="J8" s="198">
        <v>0</v>
      </c>
      <c r="K8" s="198">
        <v>0</v>
      </c>
      <c r="M8" s="144" t="str">
        <f t="shared" si="3"/>
        <v>321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31</v>
      </c>
      <c r="D9" s="149" t="str">
        <f t="shared" si="1"/>
        <v>Vlastiti prihodi</v>
      </c>
      <c r="E9" s="154">
        <v>3211</v>
      </c>
      <c r="F9" s="149" t="str">
        <f t="shared" si="0"/>
        <v>Službena putovanja</v>
      </c>
      <c r="G9" s="201" t="s">
        <v>197</v>
      </c>
      <c r="H9" s="149" t="str">
        <f t="shared" si="2"/>
        <v>REDOVNA DJELATNOST SVEUČILIŠTA U OSIJEKU (IZ EVIDENCIJSKIH PRIHODA)</v>
      </c>
      <c r="I9" s="198">
        <v>200345</v>
      </c>
      <c r="J9" s="198">
        <v>200345</v>
      </c>
      <c r="K9" s="198">
        <v>200345</v>
      </c>
      <c r="M9" s="144" t="str">
        <f t="shared" si="3"/>
        <v>321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43</v>
      </c>
      <c r="D10" s="149" t="str">
        <f t="shared" si="1"/>
        <v>Ostali prihodi za posebne namjene</v>
      </c>
      <c r="E10" s="154">
        <v>3211</v>
      </c>
      <c r="F10" s="149" t="str">
        <f t="shared" si="0"/>
        <v>Službena putovanja</v>
      </c>
      <c r="G10" s="201" t="s">
        <v>197</v>
      </c>
      <c r="H10" s="149" t="str">
        <f t="shared" si="2"/>
        <v>REDOVNA DJELATNOST SVEUČILIŠTA U OSIJEKU (IZ EVIDENCIJSKIH PRIHODA)</v>
      </c>
      <c r="I10" s="198">
        <v>517200</v>
      </c>
      <c r="J10" s="198">
        <v>517200</v>
      </c>
      <c r="K10" s="198">
        <v>517200</v>
      </c>
      <c r="M10" s="144" t="str">
        <f t="shared" si="3"/>
        <v>321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51</v>
      </c>
      <c r="D11" s="149" t="str">
        <f t="shared" si="1"/>
        <v>Pomoći EU</v>
      </c>
      <c r="E11" s="154">
        <v>3211</v>
      </c>
      <c r="F11" s="149" t="str">
        <f t="shared" si="0"/>
        <v>Službena putovanja</v>
      </c>
      <c r="G11" s="201" t="s">
        <v>111</v>
      </c>
      <c r="H11" s="149" t="str">
        <f t="shared" si="2"/>
        <v>EU PROJEKTI SVEUČILIŠTA U OSIJEKU (IZ EVIDENCIJSKIH PRIHODA)</v>
      </c>
      <c r="I11" s="198">
        <v>21000</v>
      </c>
      <c r="J11" s="198">
        <v>21000</v>
      </c>
      <c r="K11" s="198">
        <v>21000</v>
      </c>
      <c r="M11" s="144" t="str">
        <f t="shared" si="3"/>
        <v>321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52</v>
      </c>
      <c r="D12" s="149" t="str">
        <f t="shared" si="1"/>
        <v>Ostale pomoći</v>
      </c>
      <c r="E12" s="154">
        <v>3211</v>
      </c>
      <c r="F12" s="149" t="str">
        <f t="shared" si="0"/>
        <v>Službena putovanja</v>
      </c>
      <c r="G12" s="201" t="s">
        <v>111</v>
      </c>
      <c r="H12" s="149" t="str">
        <f t="shared" si="2"/>
        <v>EU PROJEKTI SVEUČILIŠTA U OSIJEKU (IZ EVIDENCIJSKIH PRIHODA)</v>
      </c>
      <c r="I12" s="198">
        <v>11000</v>
      </c>
      <c r="J12" s="198">
        <v>11000</v>
      </c>
      <c r="K12" s="198">
        <v>11000</v>
      </c>
      <c r="M12" s="144" t="str">
        <f t="shared" si="3"/>
        <v>321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3212</v>
      </c>
      <c r="F13" s="149" t="str">
        <f t="shared" si="0"/>
        <v>Naknade za prijevoz, za rad na terenu i odvojeni život</v>
      </c>
      <c r="G13" s="201" t="s">
        <v>80</v>
      </c>
      <c r="H13" s="149" t="str">
        <f t="shared" si="2"/>
        <v>REDOVNA DJELATNOST SVEUČILIŠTA U OSIJEKU</v>
      </c>
      <c r="I13" s="198">
        <v>195060</v>
      </c>
      <c r="J13" s="198">
        <v>199384</v>
      </c>
      <c r="K13" s="198">
        <v>201222</v>
      </c>
      <c r="M13" s="144" t="str">
        <f t="shared" si="3"/>
        <v>321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3213</v>
      </c>
      <c r="F14" s="149" t="str">
        <f t="shared" si="0"/>
        <v>Stručno usavršavanje zaposlenika</v>
      </c>
      <c r="G14" s="201" t="s">
        <v>864</v>
      </c>
      <c r="H14" s="149" t="str">
        <f t="shared" si="2"/>
        <v>PROGRAMSKO FINANCIRANJE JAVNIH VISOKIH UČILIŠTA</v>
      </c>
      <c r="I14" s="198">
        <v>35000</v>
      </c>
      <c r="J14" s="198">
        <v>35000</v>
      </c>
      <c r="K14" s="198">
        <v>35000</v>
      </c>
      <c r="M14" s="144" t="str">
        <f t="shared" si="3"/>
        <v>321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31</v>
      </c>
      <c r="D15" s="149" t="str">
        <f t="shared" si="1"/>
        <v>Vlastiti prihodi</v>
      </c>
      <c r="E15" s="154">
        <v>3213</v>
      </c>
      <c r="F15" s="149" t="str">
        <f t="shared" si="0"/>
        <v>Stručno usavršavanje zaposlenika</v>
      </c>
      <c r="G15" s="201" t="s">
        <v>197</v>
      </c>
      <c r="H15" s="149" t="str">
        <f t="shared" si="2"/>
        <v>REDOVNA DJELATNOST SVEUČILIŠTA U OSIJEKU (IZ EVIDENCIJSKIH PRIHODA)</v>
      </c>
      <c r="I15" s="198">
        <v>10000</v>
      </c>
      <c r="J15" s="198">
        <v>10000</v>
      </c>
      <c r="K15" s="198">
        <v>10000</v>
      </c>
      <c r="M15" s="144" t="str">
        <f t="shared" si="3"/>
        <v>321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43</v>
      </c>
      <c r="D16" s="149" t="str">
        <f t="shared" si="1"/>
        <v>Ostali prihodi za posebne namjene</v>
      </c>
      <c r="E16" s="154">
        <v>3213</v>
      </c>
      <c r="F16" s="149" t="str">
        <f t="shared" si="0"/>
        <v>Stručno usavršavanje zaposlenika</v>
      </c>
      <c r="G16" s="201" t="s">
        <v>197</v>
      </c>
      <c r="H16" s="149" t="str">
        <f t="shared" si="2"/>
        <v>REDOVNA DJELATNOST SVEUČILIŠTA U OSIJEKU (IZ EVIDENCIJSKIH PRIHODA)</v>
      </c>
      <c r="I16" s="198">
        <v>110000</v>
      </c>
      <c r="J16" s="198">
        <v>110000</v>
      </c>
      <c r="K16" s="198">
        <v>110000</v>
      </c>
      <c r="M16" s="144" t="str">
        <f t="shared" si="3"/>
        <v>321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43</v>
      </c>
      <c r="D17" s="149" t="str">
        <f t="shared" si="1"/>
        <v>Ostali prihodi za posebne namjene</v>
      </c>
      <c r="E17" s="154">
        <v>3214</v>
      </c>
      <c r="F17" s="149" t="str">
        <f t="shared" si="0"/>
        <v>Ostale naknade troškova zaposlenima</v>
      </c>
      <c r="G17" s="201" t="s">
        <v>197</v>
      </c>
      <c r="H17" s="149" t="str">
        <f t="shared" si="2"/>
        <v>REDOVNA DJELATNOST SVEUČILIŠTA U OSIJEKU (IZ EVIDENCIJSKIH PRIHODA)</v>
      </c>
      <c r="I17" s="198">
        <v>2000</v>
      </c>
      <c r="J17" s="198">
        <v>2000</v>
      </c>
      <c r="K17" s="198">
        <v>2000</v>
      </c>
      <c r="M17" s="144" t="str">
        <f t="shared" si="3"/>
        <v>321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3221</v>
      </c>
      <c r="F18" s="149" t="str">
        <f t="shared" si="0"/>
        <v>Uredski materijal i ostali materijalni rashodi</v>
      </c>
      <c r="G18" s="201" t="s">
        <v>80</v>
      </c>
      <c r="H18" s="149" t="str">
        <f t="shared" si="2"/>
        <v>REDOVNA DJELATNOST SVEUČILIŠTA U OSIJEKU</v>
      </c>
      <c r="I18" s="198">
        <v>0</v>
      </c>
      <c r="J18" s="198">
        <v>0</v>
      </c>
      <c r="K18" s="198">
        <v>0</v>
      </c>
      <c r="M18" s="144" t="str">
        <f t="shared" si="3"/>
        <v>322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31</v>
      </c>
      <c r="D19" s="149" t="str">
        <f t="shared" si="1"/>
        <v>Vlastiti prihodi</v>
      </c>
      <c r="E19" s="154">
        <v>3221</v>
      </c>
      <c r="F19" s="149" t="str">
        <f t="shared" si="0"/>
        <v>Uredski materijal i ostali materijalni rashodi</v>
      </c>
      <c r="G19" s="201" t="s">
        <v>197</v>
      </c>
      <c r="H19" s="149" t="str">
        <f t="shared" si="2"/>
        <v>REDOVNA DJELATNOST SVEUČILIŠTA U OSIJEKU (IZ EVIDENCIJSKIH PRIHODA)</v>
      </c>
      <c r="I19" s="198">
        <v>40000</v>
      </c>
      <c r="J19" s="198">
        <v>40000</v>
      </c>
      <c r="K19" s="198">
        <v>40000</v>
      </c>
      <c r="M19" s="144" t="str">
        <f t="shared" si="3"/>
        <v>322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43</v>
      </c>
      <c r="D20" s="149" t="str">
        <f t="shared" si="1"/>
        <v>Ostali prihodi za posebne namjene</v>
      </c>
      <c r="E20" s="154">
        <v>3221</v>
      </c>
      <c r="F20" s="149" t="str">
        <f t="shared" si="0"/>
        <v>Uredski materijal i ostali materijalni rashodi</v>
      </c>
      <c r="G20" s="201" t="s">
        <v>197</v>
      </c>
      <c r="H20" s="149" t="str">
        <f t="shared" si="2"/>
        <v>REDOVNA DJELATNOST SVEUČILIŠTA U OSIJEKU (IZ EVIDENCIJSKIH PRIHODA)</v>
      </c>
      <c r="I20" s="198">
        <v>182500</v>
      </c>
      <c r="J20" s="198">
        <v>182500</v>
      </c>
      <c r="K20" s="198">
        <v>182500</v>
      </c>
      <c r="M20" s="144" t="str">
        <f t="shared" si="3"/>
        <v>322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31</v>
      </c>
      <c r="D21" s="149" t="str">
        <f t="shared" si="1"/>
        <v>Vlastiti prihodi</v>
      </c>
      <c r="E21" s="154">
        <v>3222</v>
      </c>
      <c r="F21" s="149" t="str">
        <f t="shared" si="0"/>
        <v>Materijal i sirovine</v>
      </c>
      <c r="G21" s="201" t="s">
        <v>197</v>
      </c>
      <c r="H21" s="149" t="str">
        <f t="shared" si="2"/>
        <v>REDOVNA DJELATNOST SVEUČILIŠTA U OSIJEKU (IZ EVIDENCIJSKIH PRIHODA)</v>
      </c>
      <c r="I21" s="198">
        <v>10000</v>
      </c>
      <c r="J21" s="198">
        <v>10000</v>
      </c>
      <c r="K21" s="198">
        <v>10000</v>
      </c>
      <c r="M21" s="144" t="str">
        <f t="shared" si="3"/>
        <v>322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3223</v>
      </c>
      <c r="F22" s="149" t="str">
        <f t="shared" si="0"/>
        <v>Energija</v>
      </c>
      <c r="G22" s="201" t="s">
        <v>80</v>
      </c>
      <c r="H22" s="149" t="str">
        <f t="shared" si="2"/>
        <v>REDOVNA DJELATNOST SVEUČILIŠTA U OSIJEKU</v>
      </c>
      <c r="I22" s="198">
        <v>0</v>
      </c>
      <c r="J22" s="198">
        <v>0</v>
      </c>
      <c r="K22" s="198">
        <v>0</v>
      </c>
      <c r="M22" s="144" t="str">
        <f t="shared" si="3"/>
        <v>322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31</v>
      </c>
      <c r="D23" s="149" t="str">
        <f t="shared" si="1"/>
        <v>Vlastiti prihodi</v>
      </c>
      <c r="E23" s="154">
        <v>3223</v>
      </c>
      <c r="F23" s="149" t="str">
        <f t="shared" si="0"/>
        <v>Energija</v>
      </c>
      <c r="G23" s="201" t="s">
        <v>197</v>
      </c>
      <c r="H23" s="149" t="str">
        <f t="shared" si="2"/>
        <v>REDOVNA DJELATNOST SVEUČILIŠTA U OSIJEKU (IZ EVIDENCIJSKIH PRIHODA)</v>
      </c>
      <c r="I23" s="198">
        <v>500</v>
      </c>
      <c r="J23" s="198">
        <v>500</v>
      </c>
      <c r="K23" s="198">
        <v>500</v>
      </c>
      <c r="M23" s="144" t="str">
        <f t="shared" si="3"/>
        <v>322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43</v>
      </c>
      <c r="D24" s="149" t="str">
        <f t="shared" si="1"/>
        <v>Ostali prihodi za posebne namjene</v>
      </c>
      <c r="E24" s="154">
        <v>3223</v>
      </c>
      <c r="F24" s="149" t="str">
        <f t="shared" si="0"/>
        <v>Energija</v>
      </c>
      <c r="G24" s="201" t="s">
        <v>197</v>
      </c>
      <c r="H24" s="149" t="str">
        <f t="shared" si="2"/>
        <v>REDOVNA DJELATNOST SVEUČILIŠTA U OSIJEKU (IZ EVIDENCIJSKIH PRIHODA)</v>
      </c>
      <c r="I24" s="198">
        <v>66700</v>
      </c>
      <c r="J24" s="198">
        <v>66700</v>
      </c>
      <c r="K24" s="198">
        <v>66700</v>
      </c>
      <c r="M24" s="144" t="str">
        <f t="shared" si="3"/>
        <v>322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43</v>
      </c>
      <c r="D25" s="149" t="str">
        <f t="shared" si="1"/>
        <v>Ostali prihodi za posebne namjene</v>
      </c>
      <c r="E25" s="154">
        <v>3224</v>
      </c>
      <c r="F25" s="149" t="str">
        <f t="shared" si="0"/>
        <v>Materijal i dijelovi za tekuće i investicijsko održavanje</v>
      </c>
      <c r="G25" s="201" t="s">
        <v>197</v>
      </c>
      <c r="H25" s="149" t="str">
        <f t="shared" si="2"/>
        <v>REDOVNA DJELATNOST SVEUČILIŠTA U OSIJEKU (IZ EVIDENCIJSKIH PRIHODA)</v>
      </c>
      <c r="I25" s="198">
        <v>20000</v>
      </c>
      <c r="J25" s="198">
        <v>20000</v>
      </c>
      <c r="K25" s="198">
        <v>20000</v>
      </c>
      <c r="M25" s="144" t="str">
        <f t="shared" si="3"/>
        <v>322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3224</v>
      </c>
      <c r="F26" s="149" t="str">
        <f t="shared" si="0"/>
        <v>Materijal i dijelovi za tekuće i investicijsko održavanje</v>
      </c>
      <c r="G26" s="201" t="s">
        <v>80</v>
      </c>
      <c r="H26" s="149" t="str">
        <f t="shared" si="2"/>
        <v>REDOVNA DJELATNOST SVEUČILIŠTA U OSIJEKU</v>
      </c>
      <c r="I26" s="198">
        <v>0</v>
      </c>
      <c r="J26" s="198">
        <v>0</v>
      </c>
      <c r="K26" s="198">
        <v>0</v>
      </c>
      <c r="M26" s="144" t="str">
        <f t="shared" si="3"/>
        <v>322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3225</v>
      </c>
      <c r="F27" s="149" t="str">
        <f t="shared" si="0"/>
        <v>Sitni inventar i auto gume</v>
      </c>
      <c r="G27" s="201" t="s">
        <v>80</v>
      </c>
      <c r="H27" s="149" t="str">
        <f t="shared" si="2"/>
        <v>REDOVNA DJELATNOST SVEUČILIŠTA U OSIJEKU</v>
      </c>
      <c r="I27" s="198">
        <v>0</v>
      </c>
      <c r="J27" s="198">
        <v>0</v>
      </c>
      <c r="K27" s="198">
        <v>0</v>
      </c>
      <c r="M27" s="144" t="str">
        <f t="shared" si="3"/>
        <v>322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31</v>
      </c>
      <c r="D28" s="149" t="str">
        <f t="shared" si="1"/>
        <v>Vlastiti prihodi</v>
      </c>
      <c r="E28" s="154">
        <v>3225</v>
      </c>
      <c r="F28" s="149" t="str">
        <f t="shared" si="0"/>
        <v>Sitni inventar i auto gume</v>
      </c>
      <c r="G28" s="201" t="s">
        <v>197</v>
      </c>
      <c r="H28" s="149" t="str">
        <f t="shared" si="2"/>
        <v>REDOVNA DJELATNOST SVEUČILIŠTA U OSIJEKU (IZ EVIDENCIJSKIH PRIHODA)</v>
      </c>
      <c r="I28" s="198">
        <v>3250</v>
      </c>
      <c r="J28" s="198">
        <v>3250</v>
      </c>
      <c r="K28" s="198">
        <v>3250</v>
      </c>
      <c r="M28" s="144" t="str">
        <f t="shared" si="3"/>
        <v>322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43</v>
      </c>
      <c r="D29" s="149" t="str">
        <f t="shared" si="1"/>
        <v>Ostali prihodi za posebne namjene</v>
      </c>
      <c r="E29" s="154">
        <v>3225</v>
      </c>
      <c r="F29" s="149" t="str">
        <f t="shared" si="0"/>
        <v>Sitni inventar i auto gume</v>
      </c>
      <c r="G29" s="201" t="s">
        <v>197</v>
      </c>
      <c r="H29" s="149" t="str">
        <f t="shared" si="2"/>
        <v>REDOVNA DJELATNOST SVEUČILIŠTA U OSIJEKU (IZ EVIDENCIJSKIH PRIHODA)</v>
      </c>
      <c r="I29" s="198">
        <v>1000</v>
      </c>
      <c r="J29" s="198">
        <v>1000</v>
      </c>
      <c r="K29" s="198">
        <v>1000</v>
      </c>
      <c r="M29" s="144" t="str">
        <f t="shared" si="3"/>
        <v>322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3227</v>
      </c>
      <c r="F30" s="149" t="str">
        <f t="shared" si="0"/>
        <v>Službena, radna i zaštitna odjeća i obuća</v>
      </c>
      <c r="G30" s="201" t="s">
        <v>80</v>
      </c>
      <c r="H30" s="149" t="str">
        <f t="shared" si="2"/>
        <v>REDOVNA DJELATNOST SVEUČILIŠTA U OSIJEKU</v>
      </c>
      <c r="I30" s="198">
        <v>0</v>
      </c>
      <c r="J30" s="198">
        <v>0</v>
      </c>
      <c r="K30" s="198">
        <v>0</v>
      </c>
      <c r="M30" s="144" t="str">
        <f t="shared" si="3"/>
        <v>322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31</v>
      </c>
      <c r="D31" s="149" t="str">
        <f t="shared" si="1"/>
        <v>Vlastiti prihodi</v>
      </c>
      <c r="E31" s="154">
        <v>3227</v>
      </c>
      <c r="F31" s="149" t="str">
        <f t="shared" si="0"/>
        <v>Službena, radna i zaštitna odjeća i obuća</v>
      </c>
      <c r="G31" s="201" t="s">
        <v>197</v>
      </c>
      <c r="H31" s="149" t="str">
        <f t="shared" si="2"/>
        <v>REDOVNA DJELATNOST SVEUČILIŠTA U OSIJEKU (IZ EVIDENCIJSKIH PRIHODA)</v>
      </c>
      <c r="I31" s="198">
        <v>500</v>
      </c>
      <c r="J31" s="198">
        <v>0</v>
      </c>
      <c r="K31" s="198">
        <v>500</v>
      </c>
      <c r="M31" s="144" t="str">
        <f t="shared" si="3"/>
        <v>322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43</v>
      </c>
      <c r="D32" s="149" t="str">
        <f t="shared" si="1"/>
        <v>Ostali prihodi za posebne namjene</v>
      </c>
      <c r="E32" s="154">
        <v>3227</v>
      </c>
      <c r="F32" s="149" t="str">
        <f t="shared" si="0"/>
        <v>Službena, radna i zaštitna odjeća i obuća</v>
      </c>
      <c r="G32" s="201" t="s">
        <v>197</v>
      </c>
      <c r="H32" s="149" t="str">
        <f t="shared" si="2"/>
        <v>REDOVNA DJELATNOST SVEUČILIŠTA U OSIJEKU (IZ EVIDENCIJSKIH PRIHODA)</v>
      </c>
      <c r="I32" s="198">
        <v>2500</v>
      </c>
      <c r="J32" s="198">
        <v>0</v>
      </c>
      <c r="K32" s="198">
        <v>2500</v>
      </c>
      <c r="M32" s="144" t="str">
        <f t="shared" si="3"/>
        <v>322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11</v>
      </c>
      <c r="D33" s="149" t="str">
        <f t="shared" si="1"/>
        <v>Opći prihodi i primici</v>
      </c>
      <c r="E33" s="154">
        <v>3231</v>
      </c>
      <c r="F33" s="149" t="str">
        <f t="shared" si="0"/>
        <v>Usluge telefona, pošte i prijevoza</v>
      </c>
      <c r="G33" s="201" t="s">
        <v>80</v>
      </c>
      <c r="H33" s="149" t="str">
        <f t="shared" si="2"/>
        <v>REDOVNA DJELATNOST SVEUČILIŠTA U OSIJEKU</v>
      </c>
      <c r="I33" s="198">
        <v>0</v>
      </c>
      <c r="J33" s="198">
        <v>0</v>
      </c>
      <c r="K33" s="198">
        <v>0</v>
      </c>
      <c r="M33" s="144" t="str">
        <f t="shared" si="3"/>
        <v>323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31</v>
      </c>
      <c r="D34" s="149" t="str">
        <f t="shared" si="1"/>
        <v>Vlastiti prihodi</v>
      </c>
      <c r="E34" s="154">
        <v>3231</v>
      </c>
      <c r="F34" s="149" t="str">
        <f t="shared" si="0"/>
        <v>Usluge telefona, pošte i prijevoza</v>
      </c>
      <c r="G34" s="201" t="s">
        <v>197</v>
      </c>
      <c r="H34" s="149" t="str">
        <f t="shared" si="2"/>
        <v>REDOVNA DJELATNOST SVEUČILIŠTA U OSIJEKU (IZ EVIDENCIJSKIH PRIHODA)</v>
      </c>
      <c r="I34" s="198">
        <v>4000</v>
      </c>
      <c r="J34" s="198">
        <v>4000</v>
      </c>
      <c r="K34" s="198">
        <v>4000</v>
      </c>
      <c r="M34" s="144" t="str">
        <f t="shared" si="3"/>
        <v>323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43</v>
      </c>
      <c r="D35" s="149" t="str">
        <f t="shared" si="1"/>
        <v>Ostali prihodi za posebne namjene</v>
      </c>
      <c r="E35" s="154">
        <v>3231</v>
      </c>
      <c r="F35" s="149" t="str">
        <f t="shared" si="0"/>
        <v>Usluge telefona, pošte i prijevoza</v>
      </c>
      <c r="G35" s="201" t="s">
        <v>197</v>
      </c>
      <c r="H35" s="149" t="str">
        <f t="shared" si="2"/>
        <v>REDOVNA DJELATNOST SVEUČILIŠTA U OSIJEKU (IZ EVIDENCIJSKIH PRIHODA)</v>
      </c>
      <c r="I35" s="198">
        <v>60500</v>
      </c>
      <c r="J35" s="198">
        <v>60500</v>
      </c>
      <c r="K35" s="198">
        <v>60500</v>
      </c>
      <c r="M35" s="144" t="str">
        <f t="shared" si="3"/>
        <v>323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11</v>
      </c>
      <c r="D36" s="149" t="str">
        <f t="shared" si="1"/>
        <v>Opći prihodi i primici</v>
      </c>
      <c r="E36" s="154">
        <v>3232</v>
      </c>
      <c r="F36" s="149" t="str">
        <f t="shared" si="0"/>
        <v>Usluge tekućeg i investicijskog održavanja</v>
      </c>
      <c r="G36" s="201" t="s">
        <v>80</v>
      </c>
      <c r="H36" s="149" t="str">
        <f t="shared" si="2"/>
        <v>REDOVNA DJELATNOST SVEUČILIŠTA U OSIJEKU</v>
      </c>
      <c r="I36" s="198">
        <v>0</v>
      </c>
      <c r="J36" s="198">
        <v>0</v>
      </c>
      <c r="K36" s="198">
        <v>0</v>
      </c>
      <c r="M36" s="144" t="str">
        <f t="shared" si="3"/>
        <v>323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11</v>
      </c>
      <c r="D37" s="149" t="str">
        <f t="shared" si="1"/>
        <v>Opći prihodi i primici</v>
      </c>
      <c r="E37" s="154">
        <v>3233</v>
      </c>
      <c r="F37" s="149" t="str">
        <f t="shared" si="0"/>
        <v>Usluge promidžbe i informiranja</v>
      </c>
      <c r="G37" s="201" t="s">
        <v>80</v>
      </c>
      <c r="H37" s="149" t="str">
        <f t="shared" si="2"/>
        <v>REDOVNA DJELATNOST SVEUČILIŠTA U OSIJEKU</v>
      </c>
      <c r="I37" s="198">
        <v>0</v>
      </c>
      <c r="J37" s="198">
        <v>0</v>
      </c>
      <c r="K37" s="198">
        <v>0</v>
      </c>
      <c r="M37" s="144" t="str">
        <f t="shared" si="3"/>
        <v>323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31</v>
      </c>
      <c r="D38" s="149" t="str">
        <f t="shared" si="1"/>
        <v>Vlastiti prihodi</v>
      </c>
      <c r="E38" s="154">
        <v>3233</v>
      </c>
      <c r="F38" s="149" t="str">
        <f t="shared" si="0"/>
        <v>Usluge promidžbe i informiranja</v>
      </c>
      <c r="G38" s="201" t="s">
        <v>197</v>
      </c>
      <c r="H38" s="149" t="str">
        <f t="shared" si="2"/>
        <v>REDOVNA DJELATNOST SVEUČILIŠTA U OSIJEKU (IZ EVIDENCIJSKIH PRIHODA)</v>
      </c>
      <c r="I38" s="198">
        <v>35000</v>
      </c>
      <c r="J38" s="198">
        <v>35000</v>
      </c>
      <c r="K38" s="198">
        <v>35000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43</v>
      </c>
      <c r="D39" s="149" t="str">
        <f t="shared" si="1"/>
        <v>Ostali prihodi za posebne namjene</v>
      </c>
      <c r="E39" s="154">
        <v>3233</v>
      </c>
      <c r="F39" s="149" t="str">
        <f t="shared" si="0"/>
        <v>Usluge promidžbe i informiranja</v>
      </c>
      <c r="G39" s="201" t="s">
        <v>197</v>
      </c>
      <c r="H39" s="149" t="str">
        <f t="shared" si="2"/>
        <v>REDOVNA DJELATNOST SVEUČILIŠTA U OSIJEKU (IZ EVIDENCIJSKIH PRIHODA)</v>
      </c>
      <c r="I39" s="198">
        <v>150000</v>
      </c>
      <c r="J39" s="198">
        <v>150000</v>
      </c>
      <c r="K39" s="198">
        <v>150000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11</v>
      </c>
      <c r="D40" s="149" t="str">
        <f t="shared" si="1"/>
        <v>Opći prihodi i primici</v>
      </c>
      <c r="E40" s="154">
        <v>3234</v>
      </c>
      <c r="F40" s="149" t="str">
        <f t="shared" si="0"/>
        <v>Komunalne usluge</v>
      </c>
      <c r="G40" s="201" t="s">
        <v>864</v>
      </c>
      <c r="H40" s="149" t="str">
        <f t="shared" si="2"/>
        <v>PROGRAMSKO FINANCIRANJE JAVNIH VISOKIH UČILIŠTA</v>
      </c>
      <c r="I40" s="198">
        <v>45000</v>
      </c>
      <c r="J40" s="198">
        <v>50000</v>
      </c>
      <c r="K40" s="198">
        <v>55000</v>
      </c>
      <c r="M40" s="144" t="str">
        <f t="shared" si="3"/>
        <v>323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3234</v>
      </c>
      <c r="F41" s="149" t="str">
        <f t="shared" si="0"/>
        <v>Komunalne usluge</v>
      </c>
      <c r="G41" s="201" t="s">
        <v>197</v>
      </c>
      <c r="H41" s="149" t="str">
        <f t="shared" si="2"/>
        <v>REDOVNA DJELATNOST SVEUČILIŠTA U OSIJEKU (IZ EVIDENCIJSKIH PRIHODA)</v>
      </c>
      <c r="I41" s="198">
        <v>500</v>
      </c>
      <c r="J41" s="198">
        <v>500</v>
      </c>
      <c r="K41" s="198">
        <v>500</v>
      </c>
      <c r="M41" s="144" t="str">
        <f t="shared" si="3"/>
        <v>323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43</v>
      </c>
      <c r="D42" s="149" t="str">
        <f t="shared" si="1"/>
        <v>Ostali prihodi za posebne namjene</v>
      </c>
      <c r="E42" s="154">
        <v>3234</v>
      </c>
      <c r="F42" s="149" t="str">
        <f t="shared" si="0"/>
        <v>Komunalne usluge</v>
      </c>
      <c r="G42" s="201" t="s">
        <v>197</v>
      </c>
      <c r="H42" s="149" t="str">
        <f t="shared" si="2"/>
        <v>REDOVNA DJELATNOST SVEUČILIŠTA U OSIJEKU (IZ EVIDENCIJSKIH PRIHODA)</v>
      </c>
      <c r="I42" s="198">
        <v>8500</v>
      </c>
      <c r="J42" s="198">
        <v>8500</v>
      </c>
      <c r="K42" s="198">
        <v>8500</v>
      </c>
      <c r="M42" s="144" t="str">
        <f t="shared" si="3"/>
        <v>323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11</v>
      </c>
      <c r="D43" s="149" t="str">
        <f t="shared" si="1"/>
        <v>Opći prihodi i primici</v>
      </c>
      <c r="E43" s="154">
        <v>3235</v>
      </c>
      <c r="F43" s="149" t="str">
        <f t="shared" si="0"/>
        <v>Zakupnine i najamnine</v>
      </c>
      <c r="G43" s="201" t="s">
        <v>864</v>
      </c>
      <c r="H43" s="149" t="str">
        <f t="shared" si="2"/>
        <v>PROGRAMSKO FINANCIRANJE JAVNIH VISOKIH UČILIŠTA</v>
      </c>
      <c r="I43" s="198">
        <v>65000</v>
      </c>
      <c r="J43" s="198">
        <v>65000</v>
      </c>
      <c r="K43" s="198">
        <v>65000</v>
      </c>
      <c r="M43" s="144" t="str">
        <f t="shared" si="3"/>
        <v>323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31</v>
      </c>
      <c r="D44" s="149" t="str">
        <f t="shared" si="1"/>
        <v>Vlastiti prihodi</v>
      </c>
      <c r="E44" s="154">
        <v>3235</v>
      </c>
      <c r="F44" s="149" t="str">
        <f t="shared" si="0"/>
        <v>Zakupnine i najamnine</v>
      </c>
      <c r="G44" s="201" t="s">
        <v>197</v>
      </c>
      <c r="H44" s="149" t="str">
        <f t="shared" si="2"/>
        <v>REDOVNA DJELATNOST SVEUČILIŠTA U OSIJEKU (IZ EVIDENCIJSKIH PRIHODA)</v>
      </c>
      <c r="I44" s="198">
        <v>100000</v>
      </c>
      <c r="J44" s="198">
        <v>100000</v>
      </c>
      <c r="K44" s="198">
        <v>100000</v>
      </c>
      <c r="M44" s="144" t="str">
        <f t="shared" si="3"/>
        <v>323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43</v>
      </c>
      <c r="D45" s="149" t="str">
        <f t="shared" si="1"/>
        <v>Ostali prihodi za posebne namjene</v>
      </c>
      <c r="E45" s="154">
        <v>3235</v>
      </c>
      <c r="F45" s="149" t="str">
        <f t="shared" si="0"/>
        <v>Zakupnine i najamnine</v>
      </c>
      <c r="G45" s="201" t="s">
        <v>197</v>
      </c>
      <c r="H45" s="149" t="str">
        <f t="shared" si="2"/>
        <v>REDOVNA DJELATNOST SVEUČILIŠTA U OSIJEKU (IZ EVIDENCIJSKIH PRIHODA)</v>
      </c>
      <c r="I45" s="198">
        <v>65000</v>
      </c>
      <c r="J45" s="198">
        <v>65000</v>
      </c>
      <c r="K45" s="198">
        <v>65000</v>
      </c>
      <c r="M45" s="144" t="str">
        <f t="shared" si="3"/>
        <v>323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43</v>
      </c>
      <c r="D46" s="149" t="str">
        <f t="shared" si="1"/>
        <v>Ostali prihodi za posebne namjene</v>
      </c>
      <c r="E46" s="154">
        <v>3236</v>
      </c>
      <c r="F46" s="149" t="str">
        <f t="shared" si="0"/>
        <v>Zdravstvene i veterinarske usluge</v>
      </c>
      <c r="G46" s="201" t="s">
        <v>197</v>
      </c>
      <c r="H46" s="149" t="str">
        <f t="shared" si="2"/>
        <v>REDOVNA DJELATNOST SVEUČILIŠTA U OSIJEKU (IZ EVIDENCIJSKIH PRIHODA)</v>
      </c>
      <c r="I46" s="198">
        <v>180000</v>
      </c>
      <c r="J46" s="198">
        <v>180000</v>
      </c>
      <c r="K46" s="198">
        <v>180000</v>
      </c>
      <c r="M46" s="144" t="str">
        <f t="shared" si="3"/>
        <v>323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11</v>
      </c>
      <c r="D47" s="149" t="str">
        <f t="shared" si="1"/>
        <v>Opći prihodi i primici</v>
      </c>
      <c r="E47" s="154">
        <v>3237</v>
      </c>
      <c r="F47" s="149" t="str">
        <f t="shared" si="0"/>
        <v>Intelektualne i osobne usluge</v>
      </c>
      <c r="G47" s="201" t="s">
        <v>80</v>
      </c>
      <c r="H47" s="149" t="str">
        <f t="shared" si="2"/>
        <v>REDOVNA DJELATNOST SVEUČILIŠTA U OSIJEKU</v>
      </c>
      <c r="I47" s="198">
        <v>0</v>
      </c>
      <c r="J47" s="198">
        <v>0</v>
      </c>
      <c r="K47" s="198">
        <v>0</v>
      </c>
      <c r="M47" s="144" t="str">
        <f t="shared" si="3"/>
        <v>323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31</v>
      </c>
      <c r="D48" s="149" t="str">
        <f t="shared" si="1"/>
        <v>Vlastiti prihodi</v>
      </c>
      <c r="E48" s="154">
        <v>3237</v>
      </c>
      <c r="F48" s="149" t="str">
        <f t="shared" si="0"/>
        <v>Intelektualne i osobne usluge</v>
      </c>
      <c r="G48" s="201" t="s">
        <v>197</v>
      </c>
      <c r="H48" s="149" t="str">
        <f t="shared" si="2"/>
        <v>REDOVNA DJELATNOST SVEUČILIŠTA U OSIJEKU (IZ EVIDENCIJSKIH PRIHODA)</v>
      </c>
      <c r="I48" s="198">
        <v>1000000</v>
      </c>
      <c r="J48" s="198">
        <v>1000000</v>
      </c>
      <c r="K48" s="198">
        <v>1000000</v>
      </c>
      <c r="M48" s="144" t="str">
        <f t="shared" si="3"/>
        <v>323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43</v>
      </c>
      <c r="D49" s="149" t="str">
        <f t="shared" si="1"/>
        <v>Ostali prihodi za posebne namjene</v>
      </c>
      <c r="E49" s="154">
        <v>3237</v>
      </c>
      <c r="F49" s="149" t="str">
        <f t="shared" si="0"/>
        <v>Intelektualne i osobne usluge</v>
      </c>
      <c r="G49" s="201" t="s">
        <v>197</v>
      </c>
      <c r="H49" s="149" t="str">
        <f t="shared" si="2"/>
        <v>REDOVNA DJELATNOST SVEUČILIŠTA U OSIJEKU (IZ EVIDENCIJSKIH PRIHODA)</v>
      </c>
      <c r="I49" s="198">
        <v>1300000</v>
      </c>
      <c r="J49" s="198">
        <v>1300000</v>
      </c>
      <c r="K49" s="198">
        <v>1300000</v>
      </c>
      <c r="M49" s="144" t="str">
        <f t="shared" si="3"/>
        <v>323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51</v>
      </c>
      <c r="D50" s="149" t="str">
        <f t="shared" si="1"/>
        <v>Pomoći EU</v>
      </c>
      <c r="E50" s="154">
        <v>3237</v>
      </c>
      <c r="F50" s="149" t="str">
        <f t="shared" si="0"/>
        <v>Intelektualne i osobne usluge</v>
      </c>
      <c r="G50" s="201" t="s">
        <v>111</v>
      </c>
      <c r="H50" s="149" t="str">
        <f t="shared" si="2"/>
        <v>EU PROJEKTI SVEUČILIŠTA U OSIJEKU (IZ EVIDENCIJSKIH PRIHODA)</v>
      </c>
      <c r="I50" s="198">
        <v>79000</v>
      </c>
      <c r="J50" s="198">
        <v>79000</v>
      </c>
      <c r="K50" s="198">
        <v>79000</v>
      </c>
      <c r="M50" s="144" t="str">
        <f t="shared" si="3"/>
        <v>323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31</v>
      </c>
      <c r="D51" s="149" t="str">
        <f t="shared" si="1"/>
        <v>Vlastiti prihodi</v>
      </c>
      <c r="E51" s="154">
        <v>3238</v>
      </c>
      <c r="F51" s="149" t="str">
        <f t="shared" si="0"/>
        <v>Računalne usluge</v>
      </c>
      <c r="G51" s="201" t="s">
        <v>197</v>
      </c>
      <c r="H51" s="149" t="str">
        <f t="shared" si="2"/>
        <v>REDOVNA DJELATNOST SVEUČILIŠTA U OSIJEKU (IZ EVIDENCIJSKIH PRIHODA)</v>
      </c>
      <c r="I51" s="198">
        <v>50000</v>
      </c>
      <c r="J51" s="198">
        <v>50000</v>
      </c>
      <c r="K51" s="198">
        <v>50000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43</v>
      </c>
      <c r="D52" s="149" t="str">
        <f t="shared" si="1"/>
        <v>Ostali prihodi za posebne namjene</v>
      </c>
      <c r="E52" s="154">
        <v>3238</v>
      </c>
      <c r="F52" s="149" t="str">
        <f t="shared" si="0"/>
        <v>Računalne usluge</v>
      </c>
      <c r="G52" s="201" t="s">
        <v>197</v>
      </c>
      <c r="H52" s="149" t="str">
        <f t="shared" si="2"/>
        <v>REDOVNA DJELATNOST SVEUČILIŠTA U OSIJEKU (IZ EVIDENCIJSKIH PRIHODA)</v>
      </c>
      <c r="I52" s="198">
        <v>45000</v>
      </c>
      <c r="J52" s="198">
        <v>45000</v>
      </c>
      <c r="K52" s="198">
        <v>45000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11</v>
      </c>
      <c r="D53" s="149" t="str">
        <f t="shared" si="1"/>
        <v>Opći prihodi i primici</v>
      </c>
      <c r="E53" s="154">
        <v>3238</v>
      </c>
      <c r="F53" s="149" t="str">
        <f t="shared" si="0"/>
        <v>Računalne usluge</v>
      </c>
      <c r="G53" s="201" t="s">
        <v>80</v>
      </c>
      <c r="H53" s="149" t="str">
        <f t="shared" si="2"/>
        <v>REDOVNA DJELATNOST SVEUČILIŠTA U OSIJEKU</v>
      </c>
      <c r="I53" s="198">
        <v>0</v>
      </c>
      <c r="J53" s="198">
        <v>0</v>
      </c>
      <c r="K53" s="198">
        <v>0</v>
      </c>
      <c r="M53" s="144" t="str">
        <f t="shared" si="3"/>
        <v>323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11</v>
      </c>
      <c r="D54" s="149" t="str">
        <f t="shared" si="1"/>
        <v>Opći prihodi i primici</v>
      </c>
      <c r="E54" s="154">
        <v>3239</v>
      </c>
      <c r="F54" s="149" t="str">
        <f t="shared" si="0"/>
        <v>Ostale usluge</v>
      </c>
      <c r="G54" s="201" t="s">
        <v>80</v>
      </c>
      <c r="H54" s="149" t="str">
        <f t="shared" si="2"/>
        <v>REDOVNA DJELATNOST SVEUČILIŠTA U OSIJEKU</v>
      </c>
      <c r="I54" s="198">
        <v>0</v>
      </c>
      <c r="J54" s="198">
        <v>0</v>
      </c>
      <c r="K54" s="198">
        <v>0</v>
      </c>
      <c r="M54" s="144" t="str">
        <f t="shared" si="3"/>
        <v>323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31</v>
      </c>
      <c r="D55" s="149" t="str">
        <f t="shared" si="1"/>
        <v>Vlastiti prihodi</v>
      </c>
      <c r="E55" s="154">
        <v>3239</v>
      </c>
      <c r="F55" s="149" t="str">
        <f t="shared" si="0"/>
        <v>Ostale usluge</v>
      </c>
      <c r="G55" s="201" t="s">
        <v>197</v>
      </c>
      <c r="H55" s="149" t="str">
        <f t="shared" si="2"/>
        <v>REDOVNA DJELATNOST SVEUČILIŠTA U OSIJEKU (IZ EVIDENCIJSKIH PRIHODA)</v>
      </c>
      <c r="I55" s="198">
        <v>200000</v>
      </c>
      <c r="J55" s="198">
        <v>200000</v>
      </c>
      <c r="K55" s="198">
        <v>200000</v>
      </c>
      <c r="M55" s="144" t="str">
        <f t="shared" si="3"/>
        <v>323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43</v>
      </c>
      <c r="D56" s="149" t="str">
        <f t="shared" si="1"/>
        <v>Ostali prihodi za posebne namjene</v>
      </c>
      <c r="E56" s="154">
        <v>3239</v>
      </c>
      <c r="F56" s="149" t="str">
        <f t="shared" si="0"/>
        <v>Ostale usluge</v>
      </c>
      <c r="G56" s="201" t="s">
        <v>197</v>
      </c>
      <c r="H56" s="149" t="str">
        <f t="shared" si="2"/>
        <v>REDOVNA DJELATNOST SVEUČILIŠTA U OSIJEKU (IZ EVIDENCIJSKIH PRIHODA)</v>
      </c>
      <c r="I56" s="198">
        <v>210000</v>
      </c>
      <c r="J56" s="198">
        <v>210000</v>
      </c>
      <c r="K56" s="198">
        <v>210000</v>
      </c>
      <c r="M56" s="144" t="str">
        <f t="shared" si="3"/>
        <v>323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51</v>
      </c>
      <c r="D57" s="149" t="str">
        <f t="shared" si="1"/>
        <v>Pomoći EU</v>
      </c>
      <c r="E57" s="154">
        <v>3239</v>
      </c>
      <c r="F57" s="149" t="str">
        <f t="shared" si="0"/>
        <v>Ostale usluge</v>
      </c>
      <c r="G57" s="201" t="s">
        <v>111</v>
      </c>
      <c r="H57" s="149" t="str">
        <f t="shared" si="2"/>
        <v>EU PROJEKTI SVEUČILIŠTA U OSIJEKU (IZ EVIDENCIJSKIH PRIHODA)</v>
      </c>
      <c r="I57" s="198">
        <v>50000</v>
      </c>
      <c r="J57" s="198">
        <v>50000</v>
      </c>
      <c r="K57" s="198">
        <v>50000</v>
      </c>
      <c r="M57" s="144" t="str">
        <f t="shared" si="3"/>
        <v>323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11</v>
      </c>
      <c r="D58" s="149" t="str">
        <f t="shared" si="1"/>
        <v>Opći prihodi i primici</v>
      </c>
      <c r="E58" s="154">
        <v>3241</v>
      </c>
      <c r="F58" s="149" t="str">
        <f t="shared" si="0"/>
        <v>Naknade troškova osobama izvan radnog odnosa</v>
      </c>
      <c r="G58" s="201" t="s">
        <v>80</v>
      </c>
      <c r="H58" s="149" t="str">
        <f t="shared" si="2"/>
        <v>REDOVNA DJELATNOST SVEUČILIŠTA U OSIJEKU</v>
      </c>
      <c r="I58" s="198">
        <v>0</v>
      </c>
      <c r="J58" s="198">
        <v>0</v>
      </c>
      <c r="K58" s="198">
        <v>0</v>
      </c>
      <c r="M58" s="144" t="str">
        <f t="shared" si="3"/>
        <v>324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31</v>
      </c>
      <c r="D59" s="149" t="str">
        <f t="shared" si="1"/>
        <v>Vlastiti prihodi</v>
      </c>
      <c r="E59" s="154">
        <v>3241</v>
      </c>
      <c r="F59" s="149" t="str">
        <f t="shared" si="0"/>
        <v>Naknade troškova osobama izvan radnog odnosa</v>
      </c>
      <c r="G59" s="201" t="s">
        <v>197</v>
      </c>
      <c r="H59" s="149" t="str">
        <f t="shared" si="2"/>
        <v>REDOVNA DJELATNOST SVEUČILIŠTA U OSIJEKU (IZ EVIDENCIJSKIH PRIHODA)</v>
      </c>
      <c r="I59" s="198">
        <v>35000</v>
      </c>
      <c r="J59" s="198">
        <v>35000</v>
      </c>
      <c r="K59" s="198">
        <v>35000</v>
      </c>
      <c r="M59" s="144" t="str">
        <f t="shared" si="3"/>
        <v>324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43</v>
      </c>
      <c r="D60" s="149" t="str">
        <f t="shared" si="1"/>
        <v>Ostali prihodi za posebne namjene</v>
      </c>
      <c r="E60" s="154">
        <v>3241</v>
      </c>
      <c r="F60" s="149" t="str">
        <f t="shared" si="0"/>
        <v>Naknade troškova osobama izvan radnog odnosa</v>
      </c>
      <c r="G60" s="201" t="s">
        <v>197</v>
      </c>
      <c r="H60" s="149" t="str">
        <f t="shared" si="2"/>
        <v>REDOVNA DJELATNOST SVEUČILIŠTA U OSIJEKU (IZ EVIDENCIJSKIH PRIHODA)</v>
      </c>
      <c r="I60" s="198">
        <v>100000</v>
      </c>
      <c r="J60" s="198">
        <v>100000</v>
      </c>
      <c r="K60" s="198">
        <v>100000</v>
      </c>
      <c r="M60" s="144" t="str">
        <f t="shared" si="3"/>
        <v>324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43</v>
      </c>
      <c r="D61" s="149" t="str">
        <f t="shared" si="1"/>
        <v>Ostali prihodi za posebne namjene</v>
      </c>
      <c r="E61" s="154">
        <v>3292</v>
      </c>
      <c r="F61" s="149" t="str">
        <f t="shared" si="0"/>
        <v>Premije osiguranja</v>
      </c>
      <c r="G61" s="201" t="s">
        <v>197</v>
      </c>
      <c r="H61" s="149" t="str">
        <f t="shared" si="2"/>
        <v>REDOVNA DJELATNOST SVEUČILIŠTA U OSIJEKU (IZ EVIDENCIJSKIH PRIHODA)</v>
      </c>
      <c r="I61" s="198">
        <v>41000</v>
      </c>
      <c r="J61" s="198">
        <v>41000</v>
      </c>
      <c r="K61" s="198">
        <v>41000</v>
      </c>
      <c r="M61" s="144" t="str">
        <f t="shared" si="3"/>
        <v>329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11</v>
      </c>
      <c r="D62" s="149" t="str">
        <f t="shared" si="1"/>
        <v>Opći prihodi i primici</v>
      </c>
      <c r="E62" s="154">
        <v>3293</v>
      </c>
      <c r="F62" s="149" t="str">
        <f t="shared" si="0"/>
        <v>Reprezentacija</v>
      </c>
      <c r="G62" s="201" t="s">
        <v>80</v>
      </c>
      <c r="H62" s="149" t="str">
        <f t="shared" si="2"/>
        <v>REDOVNA DJELATNOST SVEUČILIŠTA U OSIJEKU</v>
      </c>
      <c r="I62" s="198">
        <v>0</v>
      </c>
      <c r="J62" s="198">
        <v>0</v>
      </c>
      <c r="K62" s="198">
        <v>0</v>
      </c>
      <c r="M62" s="144" t="str">
        <f t="shared" si="3"/>
        <v>329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31</v>
      </c>
      <c r="D63" s="149" t="str">
        <f t="shared" si="1"/>
        <v>Vlastiti prihodi</v>
      </c>
      <c r="E63" s="154">
        <v>3293</v>
      </c>
      <c r="F63" s="149" t="str">
        <f t="shared" si="0"/>
        <v>Reprezentacija</v>
      </c>
      <c r="G63" s="201" t="s">
        <v>197</v>
      </c>
      <c r="H63" s="149" t="str">
        <f t="shared" si="2"/>
        <v>REDOVNA DJELATNOST SVEUČILIŠTA U OSIJEKU (IZ EVIDENCIJSKIH PRIHODA)</v>
      </c>
      <c r="I63" s="198">
        <v>100000</v>
      </c>
      <c r="J63" s="198">
        <v>100000</v>
      </c>
      <c r="K63" s="198">
        <v>100000</v>
      </c>
      <c r="M63" s="144" t="str">
        <f t="shared" si="3"/>
        <v>329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43</v>
      </c>
      <c r="D64" s="149" t="str">
        <f t="shared" si="1"/>
        <v>Ostali prihodi za posebne namjene</v>
      </c>
      <c r="E64" s="154">
        <v>3293</v>
      </c>
      <c r="F64" s="149" t="str">
        <f t="shared" si="0"/>
        <v>Reprezentacija</v>
      </c>
      <c r="G64" s="201" t="s">
        <v>197</v>
      </c>
      <c r="H64" s="149" t="str">
        <f t="shared" si="2"/>
        <v>REDOVNA DJELATNOST SVEUČILIŠTA U OSIJEKU (IZ EVIDENCIJSKIH PRIHODA)</v>
      </c>
      <c r="I64" s="198">
        <v>205000</v>
      </c>
      <c r="J64" s="198">
        <v>205000</v>
      </c>
      <c r="K64" s="198">
        <v>205000</v>
      </c>
      <c r="M64" s="144" t="str">
        <f t="shared" si="3"/>
        <v>329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11</v>
      </c>
      <c r="D65" s="149" t="str">
        <f t="shared" si="1"/>
        <v>Opći prihodi i primici</v>
      </c>
      <c r="E65" s="154">
        <v>3294</v>
      </c>
      <c r="F65" s="149" t="str">
        <f t="shared" si="0"/>
        <v>Članarine i norme</v>
      </c>
      <c r="G65" s="201" t="s">
        <v>80</v>
      </c>
      <c r="H65" s="149" t="str">
        <f t="shared" si="2"/>
        <v>REDOVNA DJELATNOST SVEUČILIŠTA U OSIJEKU</v>
      </c>
      <c r="I65" s="198">
        <v>0</v>
      </c>
      <c r="J65" s="198">
        <v>0</v>
      </c>
      <c r="K65" s="198">
        <v>0</v>
      </c>
      <c r="M65" s="144" t="str">
        <f t="shared" si="3"/>
        <v>329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31</v>
      </c>
      <c r="D66" s="149" t="str">
        <f t="shared" si="1"/>
        <v>Vlastiti prihodi</v>
      </c>
      <c r="E66" s="154">
        <v>3294</v>
      </c>
      <c r="F66" s="149" t="str">
        <f t="shared" si="0"/>
        <v>Članarine i norme</v>
      </c>
      <c r="G66" s="201" t="s">
        <v>197</v>
      </c>
      <c r="H66" s="149" t="str">
        <f t="shared" si="2"/>
        <v>REDOVNA DJELATNOST SVEUČILIŠTA U OSIJEKU (IZ EVIDENCIJSKIH PRIHODA)</v>
      </c>
      <c r="I66" s="198">
        <v>2000</v>
      </c>
      <c r="J66" s="198">
        <v>2000</v>
      </c>
      <c r="K66" s="198">
        <v>2000</v>
      </c>
      <c r="M66" s="144" t="str">
        <f t="shared" si="3"/>
        <v>329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43</v>
      </c>
      <c r="D67" s="149" t="str">
        <f t="shared" si="1"/>
        <v>Ostali prihodi za posebne namjene</v>
      </c>
      <c r="E67" s="154">
        <v>3294</v>
      </c>
      <c r="F67" s="149" t="str">
        <f t="shared" ref="F67:F130" si="11">IFERROR(VLOOKUP(E67,$R$5:$T$129,2,FALSE),"")</f>
        <v>Članarine i norme</v>
      </c>
      <c r="G67" s="201" t="s">
        <v>197</v>
      </c>
      <c r="H67" s="149" t="str">
        <f t="shared" si="2"/>
        <v>REDOVNA DJELATNOST SVEUČILIŠTA U OSIJEKU (IZ EVIDENCIJSKIH PRIHODA)</v>
      </c>
      <c r="I67" s="198">
        <v>30000</v>
      </c>
      <c r="J67" s="198">
        <v>30000</v>
      </c>
      <c r="K67" s="198">
        <v>30000</v>
      </c>
      <c r="M67" s="144" t="str">
        <f t="shared" si="3"/>
        <v>329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31</v>
      </c>
      <c r="D68" s="149" t="str">
        <f t="shared" ref="D68:D131" si="12">IFERROR(VLOOKUP(C68,$O$6:$P$16,2,FALSE),"")</f>
        <v>Vlastiti prihodi</v>
      </c>
      <c r="E68" s="154">
        <v>3295</v>
      </c>
      <c r="F68" s="149" t="str">
        <f t="shared" si="11"/>
        <v>Pristojbe i naknade</v>
      </c>
      <c r="G68" s="201" t="s">
        <v>197</v>
      </c>
      <c r="H68" s="149" t="str">
        <f t="shared" ref="H68:H131" si="13">IFERROR(VLOOKUP(G68,$X$6:$Y$50,2,FALSE),"")</f>
        <v>REDOVNA DJELATNOST SVEUČILIŠTA U OSIJEKU (IZ EVIDENCIJSKIH PRIHODA)</v>
      </c>
      <c r="I68" s="198">
        <v>200</v>
      </c>
      <c r="J68" s="198">
        <v>200</v>
      </c>
      <c r="K68" s="198">
        <v>200</v>
      </c>
      <c r="M68" s="144" t="str">
        <f t="shared" ref="M68:M131" si="14">LEFT(E68,3)</f>
        <v>329</v>
      </c>
      <c r="N68" s="144" t="str">
        <f t="shared" ref="N68:N131" si="15">LEFT(E68,2)</f>
        <v>32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2"/>
        <v>Ostali prihodi za posebne namjene</v>
      </c>
      <c r="E69" s="154">
        <v>3295</v>
      </c>
      <c r="F69" s="149" t="str">
        <f t="shared" si="11"/>
        <v>Pristojbe i naknade</v>
      </c>
      <c r="G69" s="201" t="s">
        <v>197</v>
      </c>
      <c r="H69" s="149" t="str">
        <f t="shared" si="13"/>
        <v>REDOVNA DJELATNOST SVEUČILIŠTA U OSIJEKU (IZ EVIDENCIJSKIH PRIHODA)</v>
      </c>
      <c r="I69" s="198">
        <v>100</v>
      </c>
      <c r="J69" s="198">
        <v>100</v>
      </c>
      <c r="K69" s="198">
        <v>100</v>
      </c>
      <c r="M69" s="144" t="str">
        <f t="shared" si="14"/>
        <v>329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11</v>
      </c>
      <c r="D70" s="149" t="str">
        <f t="shared" si="12"/>
        <v>Opći prihodi i primici</v>
      </c>
      <c r="E70" s="154">
        <v>3299</v>
      </c>
      <c r="F70" s="149" t="str">
        <f t="shared" si="11"/>
        <v>Ostali nespomenuti rashodi poslovanja</v>
      </c>
      <c r="G70" s="201" t="s">
        <v>80</v>
      </c>
      <c r="H70" s="149" t="str">
        <f t="shared" si="13"/>
        <v>REDOVNA DJELATNOST SVEUČILIŠTA U OSIJEKU</v>
      </c>
      <c r="I70" s="198">
        <v>0</v>
      </c>
      <c r="J70" s="198">
        <v>0</v>
      </c>
      <c r="K70" s="198">
        <v>0</v>
      </c>
      <c r="M70" s="144" t="str">
        <f t="shared" si="14"/>
        <v>329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31</v>
      </c>
      <c r="D71" s="149" t="str">
        <f t="shared" si="12"/>
        <v>Vlastiti prihodi</v>
      </c>
      <c r="E71" s="154">
        <v>3299</v>
      </c>
      <c r="F71" s="149" t="str">
        <f t="shared" si="11"/>
        <v>Ostali nespomenuti rashodi poslovanja</v>
      </c>
      <c r="G71" s="201" t="s">
        <v>197</v>
      </c>
      <c r="H71" s="149" t="str">
        <f t="shared" si="13"/>
        <v>REDOVNA DJELATNOST SVEUČILIŠTA U OSIJEKU (IZ EVIDENCIJSKIH PRIHODA)</v>
      </c>
      <c r="I71" s="198">
        <v>140000</v>
      </c>
      <c r="J71" s="198">
        <v>140000</v>
      </c>
      <c r="K71" s="198">
        <v>140000</v>
      </c>
      <c r="M71" s="144" t="str">
        <f t="shared" si="14"/>
        <v>329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43</v>
      </c>
      <c r="D72" s="149" t="str">
        <f t="shared" si="12"/>
        <v>Ostali prihodi za posebne namjene</v>
      </c>
      <c r="E72" s="154">
        <v>3299</v>
      </c>
      <c r="F72" s="149" t="str">
        <f t="shared" si="11"/>
        <v>Ostali nespomenuti rashodi poslovanja</v>
      </c>
      <c r="G72" s="201" t="s">
        <v>197</v>
      </c>
      <c r="H72" s="149" t="str">
        <f t="shared" si="13"/>
        <v>REDOVNA DJELATNOST SVEUČILIŠTA U OSIJEKU (IZ EVIDENCIJSKIH PRIHODA)</v>
      </c>
      <c r="I72" s="198">
        <v>350000</v>
      </c>
      <c r="J72" s="198">
        <v>350000</v>
      </c>
      <c r="K72" s="198">
        <v>350000</v>
      </c>
      <c r="M72" s="144" t="str">
        <f t="shared" si="14"/>
        <v>329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31</v>
      </c>
      <c r="D73" s="149" t="str">
        <f t="shared" si="12"/>
        <v>Vlastiti prihodi</v>
      </c>
      <c r="E73" s="154">
        <v>3431</v>
      </c>
      <c r="F73" s="149" t="str">
        <f t="shared" si="11"/>
        <v>Bankarske usluge i usluge platnog prometa</v>
      </c>
      <c r="G73" s="201" t="s">
        <v>197</v>
      </c>
      <c r="H73" s="149" t="str">
        <f t="shared" si="13"/>
        <v>REDOVNA DJELATNOST SVEUČILIŠTA U OSIJEKU (IZ EVIDENCIJSKIH PRIHODA)</v>
      </c>
      <c r="I73" s="198">
        <v>20000</v>
      </c>
      <c r="J73" s="198">
        <v>20000</v>
      </c>
      <c r="K73" s="198">
        <v>20000</v>
      </c>
      <c r="M73" s="144" t="str">
        <f t="shared" si="14"/>
        <v>343</v>
      </c>
      <c r="N73" s="144" t="str">
        <f t="shared" si="15"/>
        <v>34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43</v>
      </c>
      <c r="D74" s="149" t="str">
        <f t="shared" si="12"/>
        <v>Ostali prihodi za posebne namjene</v>
      </c>
      <c r="E74" s="154">
        <v>3431</v>
      </c>
      <c r="F74" s="149" t="str">
        <f t="shared" si="11"/>
        <v>Bankarske usluge i usluge platnog prometa</v>
      </c>
      <c r="G74" s="201" t="s">
        <v>197</v>
      </c>
      <c r="H74" s="149" t="str">
        <f t="shared" si="13"/>
        <v>REDOVNA DJELATNOST SVEUČILIŠTA U OSIJEKU (IZ EVIDENCIJSKIH PRIHODA)</v>
      </c>
      <c r="I74" s="198">
        <v>30000</v>
      </c>
      <c r="J74" s="198">
        <v>30000</v>
      </c>
      <c r="K74" s="198">
        <v>30000</v>
      </c>
      <c r="M74" s="144" t="str">
        <f t="shared" si="14"/>
        <v>343</v>
      </c>
      <c r="N74" s="144" t="str">
        <f t="shared" si="15"/>
        <v>34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31</v>
      </c>
      <c r="D75" s="149" t="str">
        <f t="shared" si="12"/>
        <v>Vlastiti prihodi</v>
      </c>
      <c r="E75" s="154">
        <v>3432</v>
      </c>
      <c r="F75" s="149" t="str">
        <f t="shared" si="11"/>
        <v>Negativne tečajne razlike i razlike zbog primjene valutne kl</v>
      </c>
      <c r="G75" s="201" t="s">
        <v>197</v>
      </c>
      <c r="H75" s="149" t="str">
        <f t="shared" si="13"/>
        <v>REDOVNA DJELATNOST SVEUČILIŠTA U OSIJEKU (IZ EVIDENCIJSKIH PRIHODA)</v>
      </c>
      <c r="I75" s="198">
        <v>3000</v>
      </c>
      <c r="J75" s="198">
        <v>3000</v>
      </c>
      <c r="K75" s="198">
        <v>3000</v>
      </c>
      <c r="M75" s="144" t="str">
        <f t="shared" si="14"/>
        <v>343</v>
      </c>
      <c r="N75" s="144" t="str">
        <f t="shared" si="15"/>
        <v>34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43</v>
      </c>
      <c r="D76" s="149" t="str">
        <f t="shared" si="12"/>
        <v>Ostali prihodi za posebne namjene</v>
      </c>
      <c r="E76" s="154">
        <v>3432</v>
      </c>
      <c r="F76" s="149" t="str">
        <f t="shared" si="11"/>
        <v>Negativne tečajne razlike i razlike zbog primjene valutne kl</v>
      </c>
      <c r="G76" s="201" t="s">
        <v>197</v>
      </c>
      <c r="H76" s="149" t="str">
        <f t="shared" si="13"/>
        <v>REDOVNA DJELATNOST SVEUČILIŠTA U OSIJEKU (IZ EVIDENCIJSKIH PRIHODA)</v>
      </c>
      <c r="I76" s="198">
        <v>2500</v>
      </c>
      <c r="J76" s="198">
        <v>2500</v>
      </c>
      <c r="K76" s="198">
        <v>2500</v>
      </c>
      <c r="M76" s="144" t="str">
        <f t="shared" si="14"/>
        <v>343</v>
      </c>
      <c r="N76" s="144" t="str">
        <f t="shared" si="15"/>
        <v>34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31</v>
      </c>
      <c r="D77" s="149" t="str">
        <f t="shared" si="12"/>
        <v>Vlastiti prihodi</v>
      </c>
      <c r="E77" s="154">
        <v>3433</v>
      </c>
      <c r="F77" s="149" t="str">
        <f t="shared" si="11"/>
        <v>Zatezne kamate</v>
      </c>
      <c r="G77" s="201" t="s">
        <v>197</v>
      </c>
      <c r="H77" s="149" t="str">
        <f t="shared" si="13"/>
        <v>REDOVNA DJELATNOST SVEUČILIŠTA U OSIJEKU (IZ EVIDENCIJSKIH PRIHODA)</v>
      </c>
      <c r="I77" s="198">
        <v>50</v>
      </c>
      <c r="J77" s="198">
        <v>50</v>
      </c>
      <c r="K77" s="198">
        <v>50</v>
      </c>
      <c r="M77" s="144" t="str">
        <f t="shared" si="14"/>
        <v>343</v>
      </c>
      <c r="N77" s="144" t="str">
        <f t="shared" si="15"/>
        <v>34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43</v>
      </c>
      <c r="D78" s="149" t="str">
        <f t="shared" si="12"/>
        <v>Ostali prihodi za posebne namjene</v>
      </c>
      <c r="E78" s="154">
        <v>3434</v>
      </c>
      <c r="F78" s="149" t="str">
        <f t="shared" si="11"/>
        <v>Ostali nespomenuti financijski rashodi</v>
      </c>
      <c r="G78" s="201" t="s">
        <v>197</v>
      </c>
      <c r="H78" s="149" t="str">
        <f t="shared" si="13"/>
        <v>REDOVNA DJELATNOST SVEUČILIŠTA U OSIJEKU (IZ EVIDENCIJSKIH PRIHODA)</v>
      </c>
      <c r="I78" s="198">
        <v>500</v>
      </c>
      <c r="J78" s="198">
        <v>500</v>
      </c>
      <c r="K78" s="198">
        <v>500</v>
      </c>
      <c r="M78" s="144" t="str">
        <f t="shared" si="14"/>
        <v>343</v>
      </c>
      <c r="N78" s="144" t="str">
        <f t="shared" si="15"/>
        <v>34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11</v>
      </c>
      <c r="D79" s="149" t="str">
        <f t="shared" si="12"/>
        <v>Opći prihodi i primici</v>
      </c>
      <c r="E79" s="154">
        <v>3721</v>
      </c>
      <c r="F79" s="149" t="str">
        <f t="shared" si="11"/>
        <v>Naknade građanima i kućanstvima u novcu</v>
      </c>
      <c r="G79" s="201" t="s">
        <v>80</v>
      </c>
      <c r="H79" s="149" t="str">
        <f t="shared" si="13"/>
        <v>REDOVNA DJELATNOST SVEUČILIŠTA U OSIJEKU</v>
      </c>
      <c r="I79" s="198">
        <v>0</v>
      </c>
      <c r="J79" s="198">
        <v>0</v>
      </c>
      <c r="K79" s="198">
        <v>0</v>
      </c>
      <c r="M79" s="144" t="str">
        <f t="shared" si="14"/>
        <v>372</v>
      </c>
      <c r="N79" s="144" t="str">
        <f t="shared" si="15"/>
        <v>37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31</v>
      </c>
      <c r="D80" s="149" t="str">
        <f t="shared" si="12"/>
        <v>Vlastiti prihodi</v>
      </c>
      <c r="E80" s="154">
        <v>3811</v>
      </c>
      <c r="F80" s="149" t="str">
        <f t="shared" si="11"/>
        <v>Tekuće donacije u novcu</v>
      </c>
      <c r="G80" s="201" t="s">
        <v>197</v>
      </c>
      <c r="H80" s="149" t="str">
        <f t="shared" si="13"/>
        <v>REDOVNA DJELATNOST SVEUČILIŠTA U OSIJEKU (IZ EVIDENCIJSKIH PRIHODA)</v>
      </c>
      <c r="I80" s="198">
        <v>15000</v>
      </c>
      <c r="J80" s="198">
        <v>15000</v>
      </c>
      <c r="K80" s="198">
        <v>15000</v>
      </c>
      <c r="M80" s="144" t="str">
        <f t="shared" si="14"/>
        <v>381</v>
      </c>
      <c r="N80" s="144" t="str">
        <f t="shared" si="15"/>
        <v>38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43</v>
      </c>
      <c r="D81" s="149" t="str">
        <f t="shared" si="12"/>
        <v>Ostali prihodi za posebne namjene</v>
      </c>
      <c r="E81" s="154">
        <v>4212</v>
      </c>
      <c r="F81" s="149" t="str">
        <f t="shared" si="11"/>
        <v>Poslovni objekti</v>
      </c>
      <c r="G81" s="201" t="s">
        <v>197</v>
      </c>
      <c r="H81" s="149" t="str">
        <f t="shared" si="13"/>
        <v>REDOVNA DJELATNOST SVEUČILIŠTA U OSIJEKU (IZ EVIDENCIJSKIH PRIHODA)</v>
      </c>
      <c r="I81" s="198">
        <v>500000</v>
      </c>
      <c r="J81" s="198">
        <v>0</v>
      </c>
      <c r="K81" s="198">
        <v>0</v>
      </c>
      <c r="M81" s="144" t="str">
        <f t="shared" si="14"/>
        <v>421</v>
      </c>
      <c r="N81" s="144" t="str">
        <f t="shared" si="15"/>
        <v>42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11</v>
      </c>
      <c r="D82" s="149" t="str">
        <f t="shared" si="12"/>
        <v>Opći prihodi i primici</v>
      </c>
      <c r="E82" s="154">
        <v>4221</v>
      </c>
      <c r="F82" s="149" t="str">
        <f t="shared" si="11"/>
        <v>Uredska oprema i namještaj</v>
      </c>
      <c r="G82" s="201" t="s">
        <v>80</v>
      </c>
      <c r="H82" s="149" t="str">
        <f t="shared" si="13"/>
        <v>REDOVNA DJELATNOST SVEUČILIŠTA U OSIJEKU</v>
      </c>
      <c r="I82" s="198">
        <v>0</v>
      </c>
      <c r="J82" s="198">
        <v>0</v>
      </c>
      <c r="K82" s="198">
        <v>0</v>
      </c>
      <c r="M82" s="144" t="str">
        <f t="shared" si="14"/>
        <v>422</v>
      </c>
      <c r="N82" s="144" t="str">
        <f t="shared" si="15"/>
        <v>42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31</v>
      </c>
      <c r="D83" s="149" t="str">
        <f t="shared" si="12"/>
        <v>Vlastiti prihodi</v>
      </c>
      <c r="E83" s="154">
        <v>4221</v>
      </c>
      <c r="F83" s="149" t="str">
        <f t="shared" si="11"/>
        <v>Uredska oprema i namještaj</v>
      </c>
      <c r="G83" s="201" t="s">
        <v>197</v>
      </c>
      <c r="H83" s="149" t="str">
        <f t="shared" si="13"/>
        <v>REDOVNA DJELATNOST SVEUČILIŠTA U OSIJEKU (IZ EVIDENCIJSKIH PRIHODA)</v>
      </c>
      <c r="I83" s="198">
        <v>40000</v>
      </c>
      <c r="J83" s="198">
        <v>45000</v>
      </c>
      <c r="K83" s="198">
        <v>50000</v>
      </c>
      <c r="M83" s="144" t="str">
        <f t="shared" si="14"/>
        <v>422</v>
      </c>
      <c r="N83" s="144" t="str">
        <f t="shared" si="15"/>
        <v>42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11</v>
      </c>
      <c r="D84" s="149" t="str">
        <f t="shared" si="12"/>
        <v>Opći prihodi i primici</v>
      </c>
      <c r="E84" s="154">
        <v>4222</v>
      </c>
      <c r="F84" s="149" t="str">
        <f t="shared" si="11"/>
        <v>Komunikacijska oprema</v>
      </c>
      <c r="G84" s="201" t="s">
        <v>80</v>
      </c>
      <c r="H84" s="149" t="str">
        <f t="shared" si="13"/>
        <v>REDOVNA DJELATNOST SVEUČILIŠTA U OSIJEKU</v>
      </c>
      <c r="I84" s="198">
        <v>0</v>
      </c>
      <c r="J84" s="198">
        <v>0</v>
      </c>
      <c r="K84" s="198">
        <v>0</v>
      </c>
      <c r="M84" s="144" t="str">
        <f t="shared" si="14"/>
        <v>422</v>
      </c>
      <c r="N84" s="144" t="str">
        <f t="shared" si="15"/>
        <v>42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31</v>
      </c>
      <c r="D85" s="149" t="str">
        <f t="shared" si="12"/>
        <v>Vlastiti prihodi</v>
      </c>
      <c r="E85" s="154">
        <v>4222</v>
      </c>
      <c r="F85" s="149" t="str">
        <f t="shared" si="11"/>
        <v>Komunikacijska oprema</v>
      </c>
      <c r="G85" s="201" t="s">
        <v>197</v>
      </c>
      <c r="H85" s="149" t="str">
        <f t="shared" si="13"/>
        <v>REDOVNA DJELATNOST SVEUČILIŠTA U OSIJEKU (IZ EVIDENCIJSKIH PRIHODA)</v>
      </c>
      <c r="I85" s="198">
        <v>0</v>
      </c>
      <c r="J85" s="198">
        <v>5000</v>
      </c>
      <c r="K85" s="198">
        <v>0</v>
      </c>
      <c r="M85" s="144" t="str">
        <f t="shared" si="14"/>
        <v>422</v>
      </c>
      <c r="N85" s="144" t="str">
        <f t="shared" si="15"/>
        <v>42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11</v>
      </c>
      <c r="D86" s="149" t="str">
        <f t="shared" si="12"/>
        <v>Opći prihodi i primici</v>
      </c>
      <c r="E86" s="154">
        <v>4226</v>
      </c>
      <c r="F86" s="149" t="str">
        <f t="shared" si="11"/>
        <v>Sportska i glazbena oprema</v>
      </c>
      <c r="G86" s="201" t="s">
        <v>80</v>
      </c>
      <c r="H86" s="149" t="str">
        <f t="shared" si="13"/>
        <v>REDOVNA DJELATNOST SVEUČILIŠTA U OSIJEKU</v>
      </c>
      <c r="I86" s="198">
        <v>0</v>
      </c>
      <c r="J86" s="198">
        <v>0</v>
      </c>
      <c r="K86" s="198">
        <v>0</v>
      </c>
      <c r="M86" s="144" t="str">
        <f t="shared" si="14"/>
        <v>422</v>
      </c>
      <c r="N86" s="144" t="str">
        <f t="shared" si="15"/>
        <v>42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11</v>
      </c>
      <c r="D87" s="149" t="str">
        <f t="shared" si="12"/>
        <v>Opći prihodi i primici</v>
      </c>
      <c r="E87" s="154">
        <v>4227</v>
      </c>
      <c r="F87" s="149" t="str">
        <f t="shared" si="11"/>
        <v>Uređaji, strojevi i oprema za ostale namjene</v>
      </c>
      <c r="G87" s="201" t="s">
        <v>80</v>
      </c>
      <c r="H87" s="149" t="str">
        <f t="shared" si="13"/>
        <v>REDOVNA DJELATNOST SVEUČILIŠTA U OSIJEKU</v>
      </c>
      <c r="I87" s="198">
        <v>0</v>
      </c>
      <c r="J87" s="198">
        <v>0</v>
      </c>
      <c r="K87" s="198">
        <v>0</v>
      </c>
      <c r="M87" s="144" t="str">
        <f t="shared" si="14"/>
        <v>422</v>
      </c>
      <c r="N87" s="144" t="str">
        <f t="shared" si="15"/>
        <v>42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43</v>
      </c>
      <c r="D88" s="149" t="str">
        <f t="shared" si="12"/>
        <v>Ostali prihodi za posebne namjene</v>
      </c>
      <c r="E88" s="154">
        <v>4221</v>
      </c>
      <c r="F88" s="149" t="str">
        <f t="shared" si="11"/>
        <v>Uredska oprema i namještaj</v>
      </c>
      <c r="G88" s="201" t="s">
        <v>197</v>
      </c>
      <c r="H88" s="149" t="str">
        <f t="shared" si="13"/>
        <v>REDOVNA DJELATNOST SVEUČILIŠTA U OSIJEKU (IZ EVIDENCIJSKIH PRIHODA)</v>
      </c>
      <c r="I88" s="198">
        <v>100000</v>
      </c>
      <c r="J88" s="198">
        <v>150000</v>
      </c>
      <c r="K88" s="198">
        <v>200000</v>
      </c>
      <c r="M88" s="144" t="str">
        <f t="shared" si="14"/>
        <v>422</v>
      </c>
      <c r="N88" s="144" t="str">
        <f t="shared" si="15"/>
        <v>42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43</v>
      </c>
      <c r="D89" s="149" t="str">
        <f t="shared" si="12"/>
        <v>Ostali prihodi za posebne namjene</v>
      </c>
      <c r="E89" s="154">
        <v>4222</v>
      </c>
      <c r="F89" s="149" t="str">
        <f t="shared" si="11"/>
        <v>Komunikacijska oprema</v>
      </c>
      <c r="G89" s="201" t="s">
        <v>197</v>
      </c>
      <c r="H89" s="149" t="str">
        <f t="shared" si="13"/>
        <v>REDOVNA DJELATNOST SVEUČILIŠTA U OSIJEKU (IZ EVIDENCIJSKIH PRIHODA)</v>
      </c>
      <c r="I89" s="198">
        <v>20000</v>
      </c>
      <c r="J89" s="198">
        <v>30000</v>
      </c>
      <c r="K89" s="198">
        <v>40000</v>
      </c>
      <c r="M89" s="144" t="str">
        <f t="shared" si="14"/>
        <v>422</v>
      </c>
      <c r="N89" s="144" t="str">
        <f t="shared" si="15"/>
        <v>42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43</v>
      </c>
      <c r="D90" s="149" t="str">
        <f t="shared" si="12"/>
        <v>Ostali prihodi za posebne namjene</v>
      </c>
      <c r="E90" s="154">
        <v>4223</v>
      </c>
      <c r="F90" s="149" t="str">
        <f t="shared" si="11"/>
        <v>Oprema za održavanje i zaštitu</v>
      </c>
      <c r="G90" s="201" t="s">
        <v>197</v>
      </c>
      <c r="H90" s="149" t="str">
        <f t="shared" si="13"/>
        <v>REDOVNA DJELATNOST SVEUČILIŠTA U OSIJEKU (IZ EVIDENCIJSKIH PRIHODA)</v>
      </c>
      <c r="I90" s="198">
        <v>5000</v>
      </c>
      <c r="J90" s="198">
        <v>5000</v>
      </c>
      <c r="K90" s="198">
        <v>5000</v>
      </c>
      <c r="M90" s="144" t="str">
        <f t="shared" si="14"/>
        <v>422</v>
      </c>
      <c r="N90" s="144" t="str">
        <f t="shared" si="15"/>
        <v>42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11</v>
      </c>
      <c r="D91" s="149" t="str">
        <f t="shared" si="12"/>
        <v>Opći prihodi i primici</v>
      </c>
      <c r="E91" s="154">
        <v>4241</v>
      </c>
      <c r="F91" s="149" t="str">
        <f t="shared" si="11"/>
        <v>Knjige</v>
      </c>
      <c r="G91" s="201" t="s">
        <v>80</v>
      </c>
      <c r="H91" s="149" t="str">
        <f t="shared" si="13"/>
        <v>REDOVNA DJELATNOST SVEUČILIŠTA U OSIJEKU</v>
      </c>
      <c r="I91" s="198">
        <v>0</v>
      </c>
      <c r="J91" s="198">
        <v>0</v>
      </c>
      <c r="K91" s="198">
        <v>0</v>
      </c>
      <c r="M91" s="144" t="str">
        <f t="shared" si="14"/>
        <v>424</v>
      </c>
      <c r="N91" s="144" t="str">
        <f t="shared" si="15"/>
        <v>42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43</v>
      </c>
      <c r="D92" s="149" t="str">
        <f t="shared" si="12"/>
        <v>Ostali prihodi za posebne namjene</v>
      </c>
      <c r="E92" s="154">
        <v>4241</v>
      </c>
      <c r="F92" s="149" t="str">
        <f t="shared" si="11"/>
        <v>Knjige</v>
      </c>
      <c r="G92" s="201" t="s">
        <v>197</v>
      </c>
      <c r="H92" s="149" t="str">
        <f t="shared" si="13"/>
        <v>REDOVNA DJELATNOST SVEUČILIŠTA U OSIJEKU (IZ EVIDENCIJSKIH PRIHODA)</v>
      </c>
      <c r="I92" s="198">
        <v>2000</v>
      </c>
      <c r="J92" s="198">
        <v>2000</v>
      </c>
      <c r="K92" s="198">
        <v>2000</v>
      </c>
      <c r="M92" s="144" t="str">
        <f t="shared" si="14"/>
        <v>424</v>
      </c>
      <c r="N92" s="144" t="str">
        <f t="shared" si="15"/>
        <v>42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43</v>
      </c>
      <c r="D93" s="149" t="str">
        <f t="shared" si="12"/>
        <v>Ostali prihodi za posebne namjene</v>
      </c>
      <c r="E93" s="154">
        <v>4511</v>
      </c>
      <c r="F93" s="149" t="str">
        <f t="shared" si="11"/>
        <v>Dodatna ulaganja na građevinskim objektima</v>
      </c>
      <c r="G93" s="201" t="s">
        <v>197</v>
      </c>
      <c r="H93" s="149" t="str">
        <f t="shared" si="13"/>
        <v>REDOVNA DJELATNOST SVEUČILIŠTA U OSIJEKU (IZ EVIDENCIJSKIH PRIHODA)</v>
      </c>
      <c r="I93" s="198">
        <v>5000000</v>
      </c>
      <c r="J93" s="198">
        <v>5000000</v>
      </c>
      <c r="K93" s="198">
        <v>0</v>
      </c>
      <c r="M93" s="144" t="str">
        <f t="shared" si="14"/>
        <v>451</v>
      </c>
      <c r="N93" s="144" t="str">
        <f t="shared" si="15"/>
        <v>45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43</v>
      </c>
      <c r="D94" s="149" t="str">
        <f t="shared" si="12"/>
        <v>Ostali prihodi za posebne namjene</v>
      </c>
      <c r="E94" s="154">
        <v>3232</v>
      </c>
      <c r="F94" s="149" t="str">
        <f t="shared" si="11"/>
        <v>Usluge tekućeg i investicijskog održavanja</v>
      </c>
      <c r="G94" s="201" t="s">
        <v>197</v>
      </c>
      <c r="H94" s="149" t="str">
        <f t="shared" si="13"/>
        <v>REDOVNA DJELATNOST SVEUČILIŠTA U OSIJEKU (IZ EVIDENCIJSKIH PRIHODA)</v>
      </c>
      <c r="I94" s="198">
        <v>222000</v>
      </c>
      <c r="J94" s="198">
        <v>222000</v>
      </c>
      <c r="K94" s="198">
        <v>222000</v>
      </c>
      <c r="M94" s="144" t="str">
        <f t="shared" si="14"/>
        <v>323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51</v>
      </c>
      <c r="D95" s="149" t="str">
        <f t="shared" si="12"/>
        <v>Pomoći EU</v>
      </c>
      <c r="E95" s="154">
        <v>3293</v>
      </c>
      <c r="F95" s="149" t="str">
        <f t="shared" si="11"/>
        <v>Reprezentacija</v>
      </c>
      <c r="G95" s="201" t="s">
        <v>111</v>
      </c>
      <c r="H95" s="149" t="str">
        <f t="shared" si="13"/>
        <v>EU PROJEKTI SVEUČILIŠTA U OSIJEKU (IZ EVIDENCIJSKIH PRIHODA)</v>
      </c>
      <c r="I95" s="198">
        <v>50000</v>
      </c>
      <c r="J95" s="198">
        <v>50000</v>
      </c>
      <c r="K95" s="198">
        <v>50000</v>
      </c>
      <c r="M95" s="144" t="str">
        <f t="shared" si="14"/>
        <v>329</v>
      </c>
      <c r="N95" s="144" t="str">
        <f t="shared" si="15"/>
        <v>32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52</v>
      </c>
      <c r="D96" s="149" t="str">
        <f t="shared" si="12"/>
        <v>Ostale pomoći</v>
      </c>
      <c r="E96" s="154">
        <v>3111</v>
      </c>
      <c r="F96" s="149" t="str">
        <f t="shared" si="11"/>
        <v>Plaće za redovan rad</v>
      </c>
      <c r="G96" s="201" t="s">
        <v>111</v>
      </c>
      <c r="H96" s="149" t="str">
        <f t="shared" si="13"/>
        <v>EU PROJEKTI SVEUČILIŠTA U OSIJEKU (IZ EVIDENCIJSKIH PRIHODA)</v>
      </c>
      <c r="I96" s="198">
        <v>84000</v>
      </c>
      <c r="J96" s="198">
        <v>84000</v>
      </c>
      <c r="K96" s="198">
        <v>84000</v>
      </c>
      <c r="M96" s="144" t="str">
        <f t="shared" si="14"/>
        <v>311</v>
      </c>
      <c r="N96" s="144" t="str">
        <f t="shared" si="15"/>
        <v>31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11</v>
      </c>
      <c r="D97" s="149" t="str">
        <f t="shared" si="12"/>
        <v>Opći prihodi i primici</v>
      </c>
      <c r="E97" s="154">
        <v>3236</v>
      </c>
      <c r="F97" s="149" t="str">
        <f t="shared" si="11"/>
        <v>Zdravstvene i veterinarske usluge</v>
      </c>
      <c r="G97" s="201" t="s">
        <v>80</v>
      </c>
      <c r="H97" s="149" t="str">
        <f t="shared" si="13"/>
        <v>REDOVNA DJELATNOST SVEUČILIŠTA U OSIJEKU</v>
      </c>
      <c r="I97" s="198">
        <v>19000</v>
      </c>
      <c r="J97" s="198">
        <v>19500</v>
      </c>
      <c r="K97" s="198">
        <v>19500</v>
      </c>
      <c r="M97" s="144" t="str">
        <f t="shared" si="14"/>
        <v>323</v>
      </c>
      <c r="N97" s="144" t="str">
        <f t="shared" si="15"/>
        <v>32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11</v>
      </c>
      <c r="D98" s="149" t="str">
        <f t="shared" si="12"/>
        <v>Opći prihodi i primici</v>
      </c>
      <c r="E98" s="154">
        <v>3121</v>
      </c>
      <c r="F98" s="149" t="str">
        <f t="shared" si="11"/>
        <v>Ostali rashodi za zaposlene</v>
      </c>
      <c r="G98" s="201" t="s">
        <v>80</v>
      </c>
      <c r="H98" s="149" t="str">
        <f t="shared" si="13"/>
        <v>REDOVNA DJELATNOST SVEUČILIŠTA U OSIJEKU</v>
      </c>
      <c r="I98" s="198">
        <v>445480</v>
      </c>
      <c r="J98" s="198">
        <v>455356</v>
      </c>
      <c r="K98" s="198">
        <v>459554</v>
      </c>
      <c r="M98" s="144" t="str">
        <f t="shared" si="14"/>
        <v>312</v>
      </c>
      <c r="N98" s="144" t="str">
        <f t="shared" si="15"/>
        <v>31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11</v>
      </c>
      <c r="D99" s="149" t="str">
        <f t="shared" si="12"/>
        <v>Opći prihodi i primici</v>
      </c>
      <c r="E99" s="154">
        <v>3295</v>
      </c>
      <c r="F99" s="149" t="str">
        <f t="shared" si="11"/>
        <v>Pristojbe i naknade</v>
      </c>
      <c r="G99" s="201" t="s">
        <v>80</v>
      </c>
      <c r="H99" s="149" t="str">
        <f t="shared" si="13"/>
        <v>REDOVNA DJELATNOST SVEUČILIŠTA U OSIJEKU</v>
      </c>
      <c r="I99" s="198">
        <v>13380</v>
      </c>
      <c r="J99" s="198">
        <v>13677</v>
      </c>
      <c r="K99" s="198">
        <v>13803</v>
      </c>
      <c r="M99" s="144" t="str">
        <f t="shared" si="14"/>
        <v>329</v>
      </c>
      <c r="N99" s="144" t="str">
        <f t="shared" si="15"/>
        <v>32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11</v>
      </c>
      <c r="D100" s="149" t="str">
        <f t="shared" si="12"/>
        <v>Opći prihodi i primici</v>
      </c>
      <c r="E100" s="154">
        <v>3132</v>
      </c>
      <c r="F100" s="149" t="str">
        <f t="shared" si="11"/>
        <v>Doprinosi za obvezno zdravstveno osiguranje</v>
      </c>
      <c r="G100" s="201" t="s">
        <v>80</v>
      </c>
      <c r="H100" s="149" t="str">
        <f t="shared" si="13"/>
        <v>REDOVNA DJELATNOST SVEUČILIŠTA U OSIJEKU</v>
      </c>
      <c r="I100" s="252">
        <v>2748264</v>
      </c>
      <c r="J100" s="252">
        <v>2809193</v>
      </c>
      <c r="K100" s="252">
        <v>2835094</v>
      </c>
      <c r="M100" s="144" t="str">
        <f t="shared" si="14"/>
        <v>313</v>
      </c>
      <c r="N100" s="144" t="str">
        <f t="shared" si="15"/>
        <v>31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52</v>
      </c>
      <c r="D101" s="149" t="str">
        <f t="shared" si="12"/>
        <v>Ostale pomoći</v>
      </c>
      <c r="E101" s="154">
        <v>3241</v>
      </c>
      <c r="F101" s="149" t="str">
        <f t="shared" si="11"/>
        <v>Naknade troškova osobama izvan radnog odnosa</v>
      </c>
      <c r="G101" s="201" t="s">
        <v>111</v>
      </c>
      <c r="H101" s="149" t="str">
        <f t="shared" si="13"/>
        <v>EU PROJEKTI SVEUČILIŠTA U OSIJEKU (IZ EVIDENCIJSKIH PRIHODA)</v>
      </c>
      <c r="I101" s="198">
        <v>23100</v>
      </c>
      <c r="J101" s="198">
        <v>23100</v>
      </c>
      <c r="K101" s="198">
        <v>23100</v>
      </c>
      <c r="M101" s="144" t="str">
        <f t="shared" si="14"/>
        <v>324</v>
      </c>
      <c r="N101" s="144" t="str">
        <f t="shared" si="15"/>
        <v>32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61</v>
      </c>
      <c r="D102" s="149" t="str">
        <f t="shared" si="12"/>
        <v>Donacije</v>
      </c>
      <c r="E102" s="154">
        <v>3239</v>
      </c>
      <c r="F102" s="149" t="str">
        <f t="shared" si="11"/>
        <v>Ostale usluge</v>
      </c>
      <c r="G102" s="201" t="s">
        <v>197</v>
      </c>
      <c r="H102" s="149" t="str">
        <f t="shared" si="13"/>
        <v>REDOVNA DJELATNOST SVEUČILIŠTA U OSIJEKU (IZ EVIDENCIJSKIH PRIHODA)</v>
      </c>
      <c r="I102" s="198">
        <v>10000</v>
      </c>
      <c r="J102" s="198">
        <v>10000</v>
      </c>
      <c r="K102" s="198">
        <v>10000</v>
      </c>
      <c r="M102" s="144" t="str">
        <f t="shared" si="14"/>
        <v>323</v>
      </c>
      <c r="N102" s="144" t="str">
        <f t="shared" si="15"/>
        <v>32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61</v>
      </c>
      <c r="D103" s="149" t="str">
        <f t="shared" si="12"/>
        <v>Donacije</v>
      </c>
      <c r="E103" s="154">
        <v>3238</v>
      </c>
      <c r="F103" s="149" t="str">
        <f t="shared" si="11"/>
        <v>Računalne usluge</v>
      </c>
      <c r="G103" s="201" t="s">
        <v>197</v>
      </c>
      <c r="H103" s="149" t="str">
        <f t="shared" si="13"/>
        <v>REDOVNA DJELATNOST SVEUČILIŠTA U OSIJEKU (IZ EVIDENCIJSKIH PRIHODA)</v>
      </c>
      <c r="I103" s="252">
        <v>1000</v>
      </c>
      <c r="J103" s="252">
        <v>1000</v>
      </c>
      <c r="K103" s="252">
        <v>1000</v>
      </c>
      <c r="M103" s="144" t="str">
        <f t="shared" si="14"/>
        <v>323</v>
      </c>
      <c r="N103" s="144" t="str">
        <f t="shared" si="15"/>
        <v>32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61</v>
      </c>
      <c r="D104" s="149" t="str">
        <f t="shared" si="12"/>
        <v>Donacije</v>
      </c>
      <c r="E104" s="154">
        <v>3237</v>
      </c>
      <c r="F104" s="149" t="str">
        <f t="shared" si="11"/>
        <v>Intelektualne i osobne usluge</v>
      </c>
      <c r="G104" s="201" t="s">
        <v>197</v>
      </c>
      <c r="H104" s="149" t="str">
        <f t="shared" si="13"/>
        <v>REDOVNA DJELATNOST SVEUČILIŠTA U OSIJEKU (IZ EVIDENCIJSKIH PRIHODA)</v>
      </c>
      <c r="I104" s="252">
        <v>500</v>
      </c>
      <c r="J104" s="252">
        <v>500</v>
      </c>
      <c r="K104" s="252">
        <v>500</v>
      </c>
      <c r="M104" s="144" t="str">
        <f t="shared" si="14"/>
        <v>323</v>
      </c>
      <c r="N104" s="144" t="str">
        <f t="shared" si="15"/>
        <v>32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61</v>
      </c>
      <c r="D105" s="149" t="str">
        <f t="shared" si="12"/>
        <v>Donacije</v>
      </c>
      <c r="E105" s="154">
        <v>3233</v>
      </c>
      <c r="F105" s="149" t="str">
        <f t="shared" si="11"/>
        <v>Usluge promidžbe i informiranja</v>
      </c>
      <c r="G105" s="201" t="s">
        <v>197</v>
      </c>
      <c r="H105" s="149" t="str">
        <f t="shared" si="13"/>
        <v>REDOVNA DJELATNOST SVEUČILIŠTA U OSIJEKU (IZ EVIDENCIJSKIH PRIHODA)</v>
      </c>
      <c r="I105" s="252">
        <v>3500</v>
      </c>
      <c r="J105" s="252">
        <v>3500</v>
      </c>
      <c r="K105" s="252">
        <v>3500</v>
      </c>
      <c r="M105" s="144" t="str">
        <f t="shared" si="14"/>
        <v>323</v>
      </c>
      <c r="N105" s="144" t="str">
        <f t="shared" si="15"/>
        <v>32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61</v>
      </c>
      <c r="D106" s="149" t="str">
        <f t="shared" si="12"/>
        <v>Donacije</v>
      </c>
      <c r="E106" s="154">
        <v>3225</v>
      </c>
      <c r="F106" s="149" t="str">
        <f t="shared" si="11"/>
        <v>Sitni inventar i auto gume</v>
      </c>
      <c r="G106" s="201" t="s">
        <v>197</v>
      </c>
      <c r="H106" s="149" t="str">
        <f t="shared" si="13"/>
        <v>REDOVNA DJELATNOST SVEUČILIŠTA U OSIJEKU (IZ EVIDENCIJSKIH PRIHODA)</v>
      </c>
      <c r="I106" s="252">
        <v>200</v>
      </c>
      <c r="J106" s="252">
        <v>200</v>
      </c>
      <c r="K106" s="252">
        <v>200</v>
      </c>
      <c r="M106" s="144" t="str">
        <f t="shared" si="14"/>
        <v>322</v>
      </c>
      <c r="N106" s="144" t="str">
        <f t="shared" si="15"/>
        <v>32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61</v>
      </c>
      <c r="D107" s="149" t="str">
        <f t="shared" si="12"/>
        <v>Donacije</v>
      </c>
      <c r="E107" s="154">
        <v>3221</v>
      </c>
      <c r="F107" s="149" t="str">
        <f t="shared" si="11"/>
        <v>Uredski materijal i ostali materijalni rashodi</v>
      </c>
      <c r="G107" s="201" t="s">
        <v>197</v>
      </c>
      <c r="H107" s="149" t="str">
        <f t="shared" si="13"/>
        <v>REDOVNA DJELATNOST SVEUČILIŠTA U OSIJEKU (IZ EVIDENCIJSKIH PRIHODA)</v>
      </c>
      <c r="I107" s="198">
        <v>4000</v>
      </c>
      <c r="J107" s="198">
        <v>4000</v>
      </c>
      <c r="K107" s="198">
        <v>4000</v>
      </c>
      <c r="M107" s="144" t="str">
        <f t="shared" si="14"/>
        <v>322</v>
      </c>
      <c r="N107" s="144" t="str">
        <f t="shared" si="15"/>
        <v>32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61</v>
      </c>
      <c r="D108" s="149" t="str">
        <f t="shared" si="12"/>
        <v>Donacije</v>
      </c>
      <c r="E108" s="154">
        <v>3213</v>
      </c>
      <c r="F108" s="149" t="str">
        <f t="shared" si="11"/>
        <v>Stručno usavršavanje zaposlenika</v>
      </c>
      <c r="G108" s="201" t="s">
        <v>197</v>
      </c>
      <c r="H108" s="149" t="str">
        <f t="shared" si="13"/>
        <v>REDOVNA DJELATNOST SVEUČILIŠTA U OSIJEKU (IZ EVIDENCIJSKIH PRIHODA)</v>
      </c>
      <c r="I108" s="198">
        <v>400</v>
      </c>
      <c r="J108" s="198">
        <v>400</v>
      </c>
      <c r="K108" s="198">
        <v>400</v>
      </c>
      <c r="M108" s="144" t="str">
        <f t="shared" si="14"/>
        <v>321</v>
      </c>
      <c r="N108" s="144" t="str">
        <f t="shared" si="15"/>
        <v>32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61</v>
      </c>
      <c r="D109" s="149" t="str">
        <f t="shared" si="12"/>
        <v>Donacije</v>
      </c>
      <c r="E109" s="154">
        <v>3211</v>
      </c>
      <c r="F109" s="149" t="str">
        <f t="shared" si="11"/>
        <v>Službena putovanja</v>
      </c>
      <c r="G109" s="201" t="s">
        <v>197</v>
      </c>
      <c r="H109" s="149" t="str">
        <f t="shared" si="13"/>
        <v>REDOVNA DJELATNOST SVEUČILIŠTA U OSIJEKU (IZ EVIDENCIJSKIH PRIHODA)</v>
      </c>
      <c r="I109" s="198">
        <v>400</v>
      </c>
      <c r="J109" s="198">
        <v>400</v>
      </c>
      <c r="K109" s="198">
        <v>400</v>
      </c>
      <c r="M109" s="144" t="str">
        <f t="shared" si="14"/>
        <v>321</v>
      </c>
      <c r="N109" s="144" t="str">
        <f t="shared" si="15"/>
        <v>32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71</v>
      </c>
      <c r="D110" s="149" t="str">
        <f t="shared" si="12"/>
        <v>Prihodi od nefin. imovine i nadoknade štete s osnova osig.</v>
      </c>
      <c r="E110" s="154">
        <v>4511</v>
      </c>
      <c r="F110" s="149" t="str">
        <f t="shared" si="11"/>
        <v>Dodatna ulaganja na građevinskim objektima</v>
      </c>
      <c r="G110" s="201" t="s">
        <v>197</v>
      </c>
      <c r="H110" s="149" t="str">
        <f t="shared" si="13"/>
        <v>REDOVNA DJELATNOST SVEUČILIŠTA U OSIJEKU (IZ EVIDENCIJSKIH PRIHODA)</v>
      </c>
      <c r="I110" s="198">
        <v>7600</v>
      </c>
      <c r="J110" s="198">
        <v>7500</v>
      </c>
      <c r="K110" s="198">
        <v>7400</v>
      </c>
      <c r="M110" s="144" t="str">
        <f t="shared" si="14"/>
        <v>451</v>
      </c>
      <c r="N110" s="144" t="str">
        <f t="shared" si="15"/>
        <v>45</v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11</v>
      </c>
      <c r="D111" s="149" t="str">
        <f t="shared" si="12"/>
        <v>Opći prihodi i primici</v>
      </c>
      <c r="E111" s="154">
        <v>3111</v>
      </c>
      <c r="F111" s="149" t="str">
        <f t="shared" si="11"/>
        <v>Plaće za redovan rad</v>
      </c>
      <c r="G111" s="201" t="s">
        <v>864</v>
      </c>
      <c r="H111" s="149" t="str">
        <f t="shared" si="13"/>
        <v>PROGRAMSKO FINANCIRANJE JAVNIH VISOKIH UČILIŠTA</v>
      </c>
      <c r="I111" s="198">
        <v>448695</v>
      </c>
      <c r="J111" s="198">
        <v>700000</v>
      </c>
      <c r="K111" s="198">
        <v>700000</v>
      </c>
      <c r="M111" s="144" t="str">
        <f t="shared" si="14"/>
        <v>311</v>
      </c>
      <c r="N111" s="144" t="str">
        <f t="shared" si="15"/>
        <v>31</v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11</v>
      </c>
      <c r="D112" s="149" t="str">
        <f t="shared" si="12"/>
        <v>Opći prihodi i primici</v>
      </c>
      <c r="E112" s="154">
        <v>3211</v>
      </c>
      <c r="F112" s="149" t="str">
        <f t="shared" si="11"/>
        <v>Službena putovanja</v>
      </c>
      <c r="G112" s="201" t="s">
        <v>864</v>
      </c>
      <c r="H112" s="149" t="str">
        <f t="shared" si="13"/>
        <v>PROGRAMSKO FINANCIRANJE JAVNIH VISOKIH UČILIŠTA</v>
      </c>
      <c r="I112" s="198">
        <v>512368</v>
      </c>
      <c r="J112" s="198">
        <v>511219</v>
      </c>
      <c r="K112" s="198">
        <v>511219</v>
      </c>
      <c r="M112" s="144" t="str">
        <f t="shared" si="14"/>
        <v>321</v>
      </c>
      <c r="N112" s="144" t="str">
        <f t="shared" si="15"/>
        <v>32</v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11</v>
      </c>
      <c r="D113" s="149" t="str">
        <f t="shared" si="12"/>
        <v>Opći prihodi i primici</v>
      </c>
      <c r="E113" s="154">
        <v>3132</v>
      </c>
      <c r="F113" s="149" t="str">
        <f t="shared" si="11"/>
        <v>Doprinosi za obvezno zdravstveno osiguranje</v>
      </c>
      <c r="G113" s="201" t="s">
        <v>864</v>
      </c>
      <c r="H113" s="149" t="str">
        <f t="shared" si="13"/>
        <v>PROGRAMSKO FINANCIRANJE JAVNIH VISOKIH UČILIŠTA</v>
      </c>
      <c r="I113" s="198">
        <v>115500</v>
      </c>
      <c r="J113" s="198">
        <v>115500</v>
      </c>
      <c r="K113" s="198">
        <v>115500</v>
      </c>
      <c r="M113" s="144" t="str">
        <f t="shared" si="14"/>
        <v>313</v>
      </c>
      <c r="N113" s="144" t="str">
        <f t="shared" si="15"/>
        <v>31</v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11</v>
      </c>
      <c r="D114" s="149" t="str">
        <f t="shared" si="12"/>
        <v>Opći prihodi i primici</v>
      </c>
      <c r="E114" s="154">
        <v>3221</v>
      </c>
      <c r="F114" s="149" t="str">
        <f t="shared" si="11"/>
        <v>Uredski materijal i ostali materijalni rashodi</v>
      </c>
      <c r="G114" s="201" t="s">
        <v>864</v>
      </c>
      <c r="H114" s="149" t="str">
        <f t="shared" si="13"/>
        <v>PROGRAMSKO FINANCIRANJE JAVNIH VISOKIH UČILIŠTA</v>
      </c>
      <c r="I114" s="198">
        <v>313000</v>
      </c>
      <c r="J114" s="198">
        <v>257500</v>
      </c>
      <c r="K114" s="198">
        <v>202000</v>
      </c>
      <c r="M114" s="144" t="str">
        <f t="shared" si="14"/>
        <v>322</v>
      </c>
      <c r="N114" s="144" t="str">
        <f t="shared" si="15"/>
        <v>32</v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>08006</v>
      </c>
      <c r="B115" s="148" t="str">
        <f>IF(C115="","",VLOOKUP('Opći dio'!$C$3,'Opći dio'!$L$6:$U$135,9,FALSE))</f>
        <v>Sveučilišta i veleučilišta u Republici Hrvatskoj</v>
      </c>
      <c r="C115" s="154">
        <v>11</v>
      </c>
      <c r="D115" s="149" t="str">
        <f t="shared" si="12"/>
        <v>Opći prihodi i primici</v>
      </c>
      <c r="E115" s="154">
        <v>3223</v>
      </c>
      <c r="F115" s="149" t="str">
        <f t="shared" si="11"/>
        <v>Energija</v>
      </c>
      <c r="G115" s="201" t="s">
        <v>864</v>
      </c>
      <c r="H115" s="149" t="str">
        <f t="shared" si="13"/>
        <v>PROGRAMSKO FINANCIRANJE JAVNIH VISOKIH UČILIŠTA</v>
      </c>
      <c r="I115" s="198">
        <v>400000</v>
      </c>
      <c r="J115" s="198">
        <v>450000</v>
      </c>
      <c r="K115" s="198">
        <v>500000</v>
      </c>
      <c r="M115" s="144" t="str">
        <f t="shared" si="14"/>
        <v>322</v>
      </c>
      <c r="N115" s="144" t="str">
        <f t="shared" si="15"/>
        <v>32</v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11</v>
      </c>
      <c r="D116" s="149" t="str">
        <f t="shared" si="12"/>
        <v>Opći prihodi i primici</v>
      </c>
      <c r="E116" s="154">
        <v>3224</v>
      </c>
      <c r="F116" s="149" t="str">
        <f t="shared" si="11"/>
        <v>Materijal i dijelovi za tekuće i investicijsko održavanje</v>
      </c>
      <c r="G116" s="201" t="s">
        <v>864</v>
      </c>
      <c r="H116" s="149" t="str">
        <f t="shared" si="13"/>
        <v>PROGRAMSKO FINANCIRANJE JAVNIH VISOKIH UČILIŠTA</v>
      </c>
      <c r="I116" s="198">
        <v>15000</v>
      </c>
      <c r="J116" s="198">
        <v>20000</v>
      </c>
      <c r="K116" s="198">
        <v>25000</v>
      </c>
      <c r="M116" s="144" t="str">
        <f t="shared" si="14"/>
        <v>322</v>
      </c>
      <c r="N116" s="144" t="str">
        <f t="shared" si="15"/>
        <v>32</v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11</v>
      </c>
      <c r="D117" s="149" t="str">
        <f t="shared" si="12"/>
        <v>Opći prihodi i primici</v>
      </c>
      <c r="E117" s="154">
        <v>3225</v>
      </c>
      <c r="F117" s="149" t="str">
        <f t="shared" si="11"/>
        <v>Sitni inventar i auto gume</v>
      </c>
      <c r="G117" s="201" t="s">
        <v>864</v>
      </c>
      <c r="H117" s="149" t="str">
        <f t="shared" si="13"/>
        <v>PROGRAMSKO FINANCIRANJE JAVNIH VISOKIH UČILIŠTA</v>
      </c>
      <c r="I117" s="198">
        <v>1000</v>
      </c>
      <c r="J117" s="198">
        <v>1500</v>
      </c>
      <c r="K117" s="198">
        <v>2000</v>
      </c>
      <c r="M117" s="144" t="str">
        <f t="shared" si="14"/>
        <v>322</v>
      </c>
      <c r="N117" s="144" t="str">
        <f t="shared" si="15"/>
        <v>32</v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11</v>
      </c>
      <c r="D118" s="149" t="str">
        <f t="shared" si="12"/>
        <v>Opći prihodi i primici</v>
      </c>
      <c r="E118" s="154">
        <v>3231</v>
      </c>
      <c r="F118" s="149" t="str">
        <f t="shared" si="11"/>
        <v>Usluge telefona, pošte i prijevoza</v>
      </c>
      <c r="G118" s="201" t="s">
        <v>864</v>
      </c>
      <c r="H118" s="149" t="str">
        <f t="shared" si="13"/>
        <v>PROGRAMSKO FINANCIRANJE JAVNIH VISOKIH UČILIŠTA</v>
      </c>
      <c r="I118" s="198">
        <v>150000</v>
      </c>
      <c r="J118" s="198">
        <v>180000</v>
      </c>
      <c r="K118" s="198">
        <v>180000</v>
      </c>
      <c r="M118" s="144" t="str">
        <f t="shared" si="14"/>
        <v>323</v>
      </c>
      <c r="N118" s="144" t="str">
        <f t="shared" si="15"/>
        <v>32</v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11</v>
      </c>
      <c r="D119" s="149" t="str">
        <f t="shared" si="12"/>
        <v>Opći prihodi i primici</v>
      </c>
      <c r="E119" s="154">
        <v>3232</v>
      </c>
      <c r="F119" s="149" t="str">
        <f t="shared" si="11"/>
        <v>Usluge tekućeg i investicijskog održavanja</v>
      </c>
      <c r="G119" s="201" t="s">
        <v>864</v>
      </c>
      <c r="H119" s="149" t="str">
        <f t="shared" si="13"/>
        <v>PROGRAMSKO FINANCIRANJE JAVNIH VISOKIH UČILIŠTA</v>
      </c>
      <c r="I119" s="198">
        <v>50000</v>
      </c>
      <c r="J119" s="198">
        <v>60000</v>
      </c>
      <c r="K119" s="198">
        <v>60000</v>
      </c>
      <c r="M119" s="144" t="str">
        <f t="shared" si="14"/>
        <v>323</v>
      </c>
      <c r="N119" s="144" t="str">
        <f t="shared" si="15"/>
        <v>32</v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>08006</v>
      </c>
      <c r="B120" s="148" t="str">
        <f>IF(C120="","",VLOOKUP('Opći dio'!$C$3,'Opći dio'!$L$6:$U$135,9,FALSE))</f>
        <v>Sveučilišta i veleučilišta u Republici Hrvatskoj</v>
      </c>
      <c r="C120" s="154">
        <v>11</v>
      </c>
      <c r="D120" s="149" t="str">
        <f t="shared" si="12"/>
        <v>Opći prihodi i primici</v>
      </c>
      <c r="E120" s="154">
        <v>3233</v>
      </c>
      <c r="F120" s="149" t="str">
        <f t="shared" si="11"/>
        <v>Usluge promidžbe i informiranja</v>
      </c>
      <c r="G120" s="201" t="s">
        <v>864</v>
      </c>
      <c r="H120" s="149" t="str">
        <f t="shared" si="13"/>
        <v>PROGRAMSKO FINANCIRANJE JAVNIH VISOKIH UČILIŠTA</v>
      </c>
      <c r="I120" s="198">
        <v>5000</v>
      </c>
      <c r="J120" s="198">
        <v>5000</v>
      </c>
      <c r="K120" s="198">
        <v>5000</v>
      </c>
      <c r="M120" s="144" t="str">
        <f t="shared" si="14"/>
        <v>323</v>
      </c>
      <c r="N120" s="144" t="str">
        <f t="shared" si="15"/>
        <v>32</v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>08006</v>
      </c>
      <c r="B121" s="148" t="str">
        <f>IF(C121="","",VLOOKUP('Opći dio'!$C$3,'Opći dio'!$L$6:$U$135,9,FALSE))</f>
        <v>Sveučilišta i veleučilišta u Republici Hrvatskoj</v>
      </c>
      <c r="C121" s="154">
        <v>11</v>
      </c>
      <c r="D121" s="149" t="str">
        <f t="shared" si="12"/>
        <v>Opći prihodi i primici</v>
      </c>
      <c r="E121" s="154">
        <v>3237</v>
      </c>
      <c r="F121" s="149" t="str">
        <f t="shared" si="11"/>
        <v>Intelektualne i osobne usluge</v>
      </c>
      <c r="G121" s="201" t="s">
        <v>864</v>
      </c>
      <c r="H121" s="149" t="str">
        <f t="shared" si="13"/>
        <v>PROGRAMSKO FINANCIRANJE JAVNIH VISOKIH UČILIŠTA</v>
      </c>
      <c r="I121" s="198">
        <v>247300</v>
      </c>
      <c r="J121" s="198">
        <v>236300</v>
      </c>
      <c r="K121" s="198">
        <v>231300</v>
      </c>
      <c r="M121" s="144" t="str">
        <f t="shared" si="14"/>
        <v>323</v>
      </c>
      <c r="N121" s="144" t="str">
        <f t="shared" si="15"/>
        <v>32</v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>08006</v>
      </c>
      <c r="B122" s="148" t="str">
        <f>IF(C122="","",VLOOKUP('Opći dio'!$C$3,'Opći dio'!$L$6:$U$135,9,FALSE))</f>
        <v>Sveučilišta i veleučilišta u Republici Hrvatskoj</v>
      </c>
      <c r="C122" s="154">
        <v>11</v>
      </c>
      <c r="D122" s="149" t="str">
        <f t="shared" si="12"/>
        <v>Opći prihodi i primici</v>
      </c>
      <c r="E122" s="154">
        <v>3238</v>
      </c>
      <c r="F122" s="149" t="str">
        <f t="shared" si="11"/>
        <v>Računalne usluge</v>
      </c>
      <c r="G122" s="201" t="s">
        <v>864</v>
      </c>
      <c r="H122" s="149" t="str">
        <f t="shared" si="13"/>
        <v>PROGRAMSKO FINANCIRANJE JAVNIH VISOKIH UČILIŠTA</v>
      </c>
      <c r="I122" s="198">
        <v>50000</v>
      </c>
      <c r="J122" s="198">
        <v>50000</v>
      </c>
      <c r="K122" s="198">
        <v>50000</v>
      </c>
      <c r="M122" s="144" t="str">
        <f t="shared" si="14"/>
        <v>323</v>
      </c>
      <c r="N122" s="144" t="str">
        <f t="shared" si="15"/>
        <v>32</v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>08006</v>
      </c>
      <c r="B123" s="148" t="str">
        <f>IF(C123="","",VLOOKUP('Opći dio'!$C$3,'Opći dio'!$L$6:$U$135,9,FALSE))</f>
        <v>Sveučilišta i veleučilišta u Republici Hrvatskoj</v>
      </c>
      <c r="C123" s="154">
        <v>11</v>
      </c>
      <c r="D123" s="149" t="str">
        <f t="shared" si="12"/>
        <v>Opći prihodi i primici</v>
      </c>
      <c r="E123" s="154">
        <v>3239</v>
      </c>
      <c r="F123" s="149" t="str">
        <f t="shared" si="11"/>
        <v>Ostale usluge</v>
      </c>
      <c r="G123" s="201" t="s">
        <v>864</v>
      </c>
      <c r="H123" s="149" t="str">
        <f t="shared" si="13"/>
        <v>PROGRAMSKO FINANCIRANJE JAVNIH VISOKIH UČILIŠTA</v>
      </c>
      <c r="I123" s="198">
        <v>30000</v>
      </c>
      <c r="J123" s="198">
        <v>30000</v>
      </c>
      <c r="K123" s="198">
        <v>30000</v>
      </c>
      <c r="M123" s="144" t="str">
        <f t="shared" si="14"/>
        <v>323</v>
      </c>
      <c r="N123" s="144" t="str">
        <f t="shared" si="15"/>
        <v>32</v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>08006</v>
      </c>
      <c r="B124" s="148" t="str">
        <f>IF(C124="","",VLOOKUP('Opći dio'!$C$3,'Opći dio'!$L$6:$U$135,9,FALSE))</f>
        <v>Sveučilišta i veleučilišta u Republici Hrvatskoj</v>
      </c>
      <c r="C124" s="154">
        <v>11</v>
      </c>
      <c r="D124" s="149" t="str">
        <f t="shared" si="12"/>
        <v>Opći prihodi i primici</v>
      </c>
      <c r="E124" s="154">
        <v>3241</v>
      </c>
      <c r="F124" s="149" t="str">
        <f t="shared" si="11"/>
        <v>Naknade troškova osobama izvan radnog odnosa</v>
      </c>
      <c r="G124" s="201" t="s">
        <v>864</v>
      </c>
      <c r="H124" s="149" t="str">
        <f t="shared" si="13"/>
        <v>PROGRAMSKO FINANCIRANJE JAVNIH VISOKIH UČILIŠTA</v>
      </c>
      <c r="I124" s="198">
        <v>45500</v>
      </c>
      <c r="J124" s="198">
        <v>65500</v>
      </c>
      <c r="K124" s="198">
        <v>65500</v>
      </c>
      <c r="M124" s="144" t="str">
        <f t="shared" si="14"/>
        <v>324</v>
      </c>
      <c r="N124" s="144" t="str">
        <f t="shared" si="15"/>
        <v>32</v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>08006</v>
      </c>
      <c r="B125" s="148" t="str">
        <f>IF(C125="","",VLOOKUP('Opći dio'!$C$3,'Opći dio'!$L$6:$U$135,9,FALSE))</f>
        <v>Sveučilišta i veleučilišta u Republici Hrvatskoj</v>
      </c>
      <c r="C125" s="154">
        <v>11</v>
      </c>
      <c r="D125" s="149" t="str">
        <f t="shared" si="12"/>
        <v>Opći prihodi i primici</v>
      </c>
      <c r="E125" s="154">
        <v>3293</v>
      </c>
      <c r="F125" s="149" t="str">
        <f t="shared" si="11"/>
        <v>Reprezentacija</v>
      </c>
      <c r="G125" s="201" t="s">
        <v>864</v>
      </c>
      <c r="H125" s="149" t="str">
        <f t="shared" si="13"/>
        <v>PROGRAMSKO FINANCIRANJE JAVNIH VISOKIH UČILIŠTA</v>
      </c>
      <c r="I125" s="198">
        <v>97000</v>
      </c>
      <c r="J125" s="198">
        <v>113000</v>
      </c>
      <c r="K125" s="198">
        <v>113000</v>
      </c>
      <c r="M125" s="144" t="str">
        <f t="shared" si="14"/>
        <v>329</v>
      </c>
      <c r="N125" s="144" t="str">
        <f t="shared" si="15"/>
        <v>32</v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>08006</v>
      </c>
      <c r="B126" s="148" t="str">
        <f>IF(C126="","",VLOOKUP('Opći dio'!$C$3,'Opći dio'!$L$6:$U$135,9,FALSE))</f>
        <v>Sveučilišta i veleučilišta u Republici Hrvatskoj</v>
      </c>
      <c r="C126" s="154">
        <v>11</v>
      </c>
      <c r="D126" s="149" t="str">
        <f t="shared" si="12"/>
        <v>Opći prihodi i primici</v>
      </c>
      <c r="E126" s="154">
        <v>3294</v>
      </c>
      <c r="F126" s="149" t="str">
        <f t="shared" si="11"/>
        <v>Članarine i norme</v>
      </c>
      <c r="G126" s="201" t="s">
        <v>864</v>
      </c>
      <c r="H126" s="149" t="str">
        <f t="shared" si="13"/>
        <v>PROGRAMSKO FINANCIRANJE JAVNIH VISOKIH UČILIŠTA</v>
      </c>
      <c r="I126" s="198">
        <v>6000</v>
      </c>
      <c r="J126" s="198">
        <v>6000</v>
      </c>
      <c r="K126" s="198">
        <v>6000</v>
      </c>
      <c r="M126" s="144" t="str">
        <f t="shared" si="14"/>
        <v>329</v>
      </c>
      <c r="N126" s="144" t="str">
        <f t="shared" si="15"/>
        <v>32</v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>08006</v>
      </c>
      <c r="B127" s="148" t="str">
        <f>IF(C127="","",VLOOKUP('Opći dio'!$C$3,'Opći dio'!$L$6:$U$135,9,FALSE))</f>
        <v>Sveučilišta i veleučilišta u Republici Hrvatskoj</v>
      </c>
      <c r="C127" s="154">
        <v>11</v>
      </c>
      <c r="D127" s="149" t="str">
        <f t="shared" si="12"/>
        <v>Opći prihodi i primici</v>
      </c>
      <c r="E127" s="154">
        <v>3299</v>
      </c>
      <c r="F127" s="149" t="str">
        <f t="shared" si="11"/>
        <v>Ostali nespomenuti rashodi poslovanja</v>
      </c>
      <c r="G127" s="201" t="s">
        <v>864</v>
      </c>
      <c r="H127" s="149" t="str">
        <f t="shared" si="13"/>
        <v>PROGRAMSKO FINANCIRANJE JAVNIH VISOKIH UČILIŠTA</v>
      </c>
      <c r="I127" s="198">
        <v>10000</v>
      </c>
      <c r="J127" s="198">
        <v>10000</v>
      </c>
      <c r="K127" s="198">
        <v>10000</v>
      </c>
      <c r="M127" s="144" t="str">
        <f t="shared" si="14"/>
        <v>329</v>
      </c>
      <c r="N127" s="144" t="str">
        <f t="shared" si="15"/>
        <v>32</v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>08006</v>
      </c>
      <c r="B128" s="148" t="str">
        <f>IF(C128="","",VLOOKUP('Opći dio'!$C$3,'Opći dio'!$L$6:$U$135,9,FALSE))</f>
        <v>Sveučilišta i veleučilišta u Republici Hrvatskoj</v>
      </c>
      <c r="C128" s="154">
        <v>11</v>
      </c>
      <c r="D128" s="149" t="str">
        <f t="shared" si="12"/>
        <v>Opći prihodi i primici</v>
      </c>
      <c r="E128" s="154">
        <v>3431</v>
      </c>
      <c r="F128" s="149" t="str">
        <f t="shared" si="11"/>
        <v>Bankarske usluge i usluge platnog prometa</v>
      </c>
      <c r="G128" s="201" t="s">
        <v>864</v>
      </c>
      <c r="H128" s="149" t="str">
        <f t="shared" si="13"/>
        <v>PROGRAMSKO FINANCIRANJE JAVNIH VISOKIH UČILIŠTA</v>
      </c>
      <c r="I128" s="198">
        <v>2500</v>
      </c>
      <c r="J128" s="198">
        <v>2500</v>
      </c>
      <c r="K128" s="198">
        <v>2500</v>
      </c>
      <c r="M128" s="144" t="str">
        <f t="shared" si="14"/>
        <v>343</v>
      </c>
      <c r="N128" s="144" t="str">
        <f t="shared" si="15"/>
        <v>34</v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>08006</v>
      </c>
      <c r="B129" s="148" t="str">
        <f>IF(C129="","",VLOOKUP('Opći dio'!$C$3,'Opći dio'!$L$6:$U$135,9,FALSE))</f>
        <v>Sveučilišta i veleučilišta u Republici Hrvatskoj</v>
      </c>
      <c r="C129" s="154">
        <v>11</v>
      </c>
      <c r="D129" s="149" t="str">
        <f t="shared" si="12"/>
        <v>Opći prihodi i primici</v>
      </c>
      <c r="E129" s="154">
        <v>3721</v>
      </c>
      <c r="F129" s="149" t="str">
        <f t="shared" si="11"/>
        <v>Naknade građanima i kućanstvima u novcu</v>
      </c>
      <c r="G129" s="201" t="s">
        <v>864</v>
      </c>
      <c r="H129" s="149" t="str">
        <f t="shared" si="13"/>
        <v>PROGRAMSKO FINANCIRANJE JAVNIH VISOKIH UČILIŠTA</v>
      </c>
      <c r="I129" s="198">
        <v>50000</v>
      </c>
      <c r="J129" s="198">
        <v>50000</v>
      </c>
      <c r="K129" s="198">
        <v>50000</v>
      </c>
      <c r="M129" s="144" t="str">
        <f t="shared" si="14"/>
        <v>372</v>
      </c>
      <c r="N129" s="144" t="str">
        <f t="shared" si="15"/>
        <v>37</v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>08006</v>
      </c>
      <c r="B130" s="148" t="str">
        <f>IF(C130="","",VLOOKUP('Opći dio'!$C$3,'Opći dio'!$L$6:$U$135,9,FALSE))</f>
        <v>Sveučilišta i veleučilišta u Republici Hrvatskoj</v>
      </c>
      <c r="C130" s="154">
        <v>11</v>
      </c>
      <c r="D130" s="149" t="str">
        <f t="shared" si="12"/>
        <v>Opći prihodi i primici</v>
      </c>
      <c r="E130" s="154">
        <v>4221</v>
      </c>
      <c r="F130" s="149" t="str">
        <f t="shared" si="11"/>
        <v>Uredska oprema i namještaj</v>
      </c>
      <c r="G130" s="201" t="s">
        <v>864</v>
      </c>
      <c r="H130" s="149" t="str">
        <f t="shared" si="13"/>
        <v>PROGRAMSKO FINANCIRANJE JAVNIH VISOKIH UČILIŠTA</v>
      </c>
      <c r="I130" s="198">
        <v>113000</v>
      </c>
      <c r="J130" s="198">
        <v>113000</v>
      </c>
      <c r="K130" s="198">
        <v>113000</v>
      </c>
      <c r="M130" s="144" t="str">
        <f t="shared" si="14"/>
        <v>422</v>
      </c>
      <c r="N130" s="144" t="str">
        <f t="shared" si="15"/>
        <v>42</v>
      </c>
    </row>
    <row r="131" spans="1:22">
      <c r="A131" s="148" t="str">
        <f>IF(C131="","",VLOOKUP('Opći dio'!$C$3,'Opći dio'!$L$6:$U$135,10,FALSE))</f>
        <v>08006</v>
      </c>
      <c r="B131" s="148" t="str">
        <f>IF(C131="","",VLOOKUP('Opći dio'!$C$3,'Opći dio'!$L$6:$U$135,9,FALSE))</f>
        <v>Sveučilišta i veleučilišta u Republici Hrvatskoj</v>
      </c>
      <c r="C131" s="154">
        <v>11</v>
      </c>
      <c r="D131" s="149" t="str">
        <f t="shared" si="12"/>
        <v>Opći prihodi i primici</v>
      </c>
      <c r="E131" s="154">
        <v>4222</v>
      </c>
      <c r="F131" s="149" t="str">
        <f t="shared" ref="F131:F194" si="24">IFERROR(VLOOKUP(E131,$R$5:$T$129,2,FALSE),"")</f>
        <v>Komunikacijska oprema</v>
      </c>
      <c r="G131" s="201" t="s">
        <v>864</v>
      </c>
      <c r="H131" s="149" t="str">
        <f t="shared" si="13"/>
        <v>PROGRAMSKO FINANCIRANJE JAVNIH VISOKIH UČILIŠTA</v>
      </c>
      <c r="I131" s="198">
        <v>2000</v>
      </c>
      <c r="J131" s="198">
        <v>2000</v>
      </c>
      <c r="K131" s="198">
        <v>2000</v>
      </c>
      <c r="M131" s="144" t="str">
        <f t="shared" si="14"/>
        <v>422</v>
      </c>
      <c r="N131" s="144" t="str">
        <f t="shared" si="15"/>
        <v>42</v>
      </c>
    </row>
    <row r="132" spans="1:22">
      <c r="A132" s="148" t="str">
        <f>IF(C132="","",VLOOKUP('Opći dio'!$C$3,'Opći dio'!$L$6:$U$135,10,FALSE))</f>
        <v>08006</v>
      </c>
      <c r="B132" s="148" t="str">
        <f>IF(C132="","",VLOOKUP('Opći dio'!$C$3,'Opći dio'!$L$6:$U$135,9,FALSE))</f>
        <v>Sveučilišta i veleučilišta u Republici Hrvatskoj</v>
      </c>
      <c r="C132" s="154">
        <v>11</v>
      </c>
      <c r="D132" s="149" t="str">
        <f t="shared" ref="D132:D195" si="25">IFERROR(VLOOKUP(C132,$O$6:$P$16,2,FALSE),"")</f>
        <v>Opći prihodi i primici</v>
      </c>
      <c r="E132" s="154">
        <v>4241</v>
      </c>
      <c r="F132" s="149" t="str">
        <f t="shared" si="24"/>
        <v>Knjige</v>
      </c>
      <c r="G132" s="201" t="s">
        <v>864</v>
      </c>
      <c r="H132" s="149" t="str">
        <f t="shared" ref="H132:H195" si="26">IFERROR(VLOOKUP(G132,$X$6:$Y$50,2,FALSE),"")</f>
        <v>PROGRAMSKO FINANCIRANJE JAVNIH VISOKIH UČILIŠTA</v>
      </c>
      <c r="I132" s="198">
        <v>45000</v>
      </c>
      <c r="J132" s="198">
        <v>45000</v>
      </c>
      <c r="K132" s="198">
        <v>45000</v>
      </c>
      <c r="M132" s="144" t="str">
        <f t="shared" ref="M132:M195" si="27">LEFT(E132,3)</f>
        <v>424</v>
      </c>
      <c r="N132" s="144" t="str">
        <f t="shared" ref="N132:N195" si="28">LEFT(E132,2)</f>
        <v>42</v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xWindow="694" yWindow="445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99 I101:K102 I107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H5" sqref="H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71" t="s">
        <v>290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5" t="s">
        <v>292</v>
      </c>
      <c r="B3" s="266"/>
      <c r="C3" s="267" t="s">
        <v>51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9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37578000</v>
      </c>
      <c r="D5" s="3"/>
      <c r="E5" s="3"/>
      <c r="F5" s="3">
        <v>15800000</v>
      </c>
      <c r="G5" s="3">
        <v>21470100</v>
      </c>
      <c r="H5" s="3">
        <v>305500</v>
      </c>
      <c r="I5" s="3">
        <v>2400</v>
      </c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36338359</v>
      </c>
      <c r="D6" s="15">
        <f t="shared" ref="D6:P6" si="1">+D26+D33</f>
        <v>23663359</v>
      </c>
      <c r="E6" s="15">
        <f t="shared" si="1"/>
        <v>0</v>
      </c>
      <c r="F6" s="15">
        <f t="shared" si="1"/>
        <v>2644000</v>
      </c>
      <c r="G6" s="15">
        <f t="shared" si="1"/>
        <v>9685300</v>
      </c>
      <c r="H6" s="15">
        <f t="shared" si="1"/>
        <v>200000</v>
      </c>
      <c r="I6" s="15">
        <f t="shared" si="1"/>
        <v>118100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20000</v>
      </c>
      <c r="N6" s="15">
        <f t="shared" si="1"/>
        <v>0</v>
      </c>
      <c r="O6" s="15">
        <f t="shared" si="1"/>
        <v>7600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-32817800</v>
      </c>
      <c r="D7" s="115">
        <v>0</v>
      </c>
      <c r="E7" s="115"/>
      <c r="F7" s="115">
        <v>-15784655</v>
      </c>
      <c r="G7" s="115">
        <v>-16725245</v>
      </c>
      <c r="H7" s="115">
        <v>-305500</v>
      </c>
      <c r="I7" s="115">
        <v>-2400</v>
      </c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41098559</v>
      </c>
      <c r="D8" s="15">
        <f>+D5+D6+D7</f>
        <v>23663359</v>
      </c>
      <c r="E8" s="15">
        <f t="shared" ref="E8:P8" si="2">+E5+E6+E7</f>
        <v>0</v>
      </c>
      <c r="F8" s="15">
        <f t="shared" si="2"/>
        <v>2659345</v>
      </c>
      <c r="G8" s="15">
        <f t="shared" si="2"/>
        <v>14430155</v>
      </c>
      <c r="H8" s="15">
        <f t="shared" si="2"/>
        <v>200000</v>
      </c>
      <c r="I8" s="15">
        <f t="shared" si="2"/>
        <v>118100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20000</v>
      </c>
      <c r="N8" s="15">
        <f t="shared" si="2"/>
        <v>0</v>
      </c>
      <c r="O8" s="15">
        <f t="shared" si="2"/>
        <v>7600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41098559</v>
      </c>
      <c r="D9" s="138">
        <f>+'PLAN RASHODA I IZDATAKA'!D3</f>
        <v>23663359</v>
      </c>
      <c r="E9" s="138">
        <f>+'PLAN RASHODA I IZDATAKA'!E3</f>
        <v>0</v>
      </c>
      <c r="F9" s="138">
        <f>+'PLAN RASHODA I IZDATAKA'!F3</f>
        <v>2659345</v>
      </c>
      <c r="G9" s="138">
        <f>+'PLAN RASHODA I IZDATAKA'!G3</f>
        <v>14430155</v>
      </c>
      <c r="H9" s="138">
        <f>+'PLAN RASHODA I IZDATAKA'!H3</f>
        <v>200000</v>
      </c>
      <c r="I9" s="138">
        <f>+'PLAN RASHODA I IZDATAKA'!I3</f>
        <v>118100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20000</v>
      </c>
      <c r="N9" s="138">
        <f>+'PLAN RASHODA I IZDATAKA'!N3</f>
        <v>0</v>
      </c>
      <c r="O9" s="138">
        <f>+'PLAN RASHODA I IZDATAKA'!O3</f>
        <v>7600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200000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200000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23100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23100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95000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95000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100000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100000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9685300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9685300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2544000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2544000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20000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20000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23663359</v>
      </c>
      <c r="D23" s="204">
        <f>SUMIFS('Plan prihoda za unos u SAP'!$G$3:$G$501,'Plan prihoda za unos u SAP'!$C$3:$C$501,"=11",'Plan prihoda za unos u SAP'!$K$3:$K$501,"=671")</f>
        <v>23663359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36330759</v>
      </c>
      <c r="D26" s="4">
        <f t="shared" ref="D26:P26" si="6">SUM(D11:D25)</f>
        <v>23663359</v>
      </c>
      <c r="E26" s="4">
        <f t="shared" si="6"/>
        <v>0</v>
      </c>
      <c r="F26" s="4">
        <f t="shared" si="6"/>
        <v>2644000</v>
      </c>
      <c r="G26" s="4">
        <f t="shared" si="6"/>
        <v>9685300</v>
      </c>
      <c r="H26" s="4">
        <f t="shared" si="6"/>
        <v>200000</v>
      </c>
      <c r="I26" s="4">
        <f t="shared" si="6"/>
        <v>118100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20000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7600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7600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7600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7600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0" t="s">
        <v>339</v>
      </c>
      <c r="B37" s="270"/>
      <c r="C37" s="72">
        <f>SUM(D37:P37)</f>
        <v>36338359</v>
      </c>
      <c r="D37" s="72">
        <f t="shared" ref="D37:P37" si="9">+D36+D33+D26</f>
        <v>23663359</v>
      </c>
      <c r="E37" s="72">
        <f t="shared" si="9"/>
        <v>0</v>
      </c>
      <c r="F37" s="72">
        <f t="shared" si="9"/>
        <v>2644000</v>
      </c>
      <c r="G37" s="72">
        <f t="shared" si="9"/>
        <v>9685300</v>
      </c>
      <c r="H37" s="72">
        <f t="shared" si="9"/>
        <v>200000</v>
      </c>
      <c r="I37" s="72">
        <f t="shared" si="9"/>
        <v>118100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20000</v>
      </c>
      <c r="N37" s="72">
        <f t="shared" si="9"/>
        <v>0</v>
      </c>
      <c r="O37" s="72">
        <f t="shared" si="9"/>
        <v>7600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5" t="s">
        <v>292</v>
      </c>
      <c r="B39" s="266"/>
      <c r="C39" s="267" t="s">
        <v>54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9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32817800</v>
      </c>
      <c r="D41" s="203">
        <f t="shared" ref="D41:P41" si="11">-D7</f>
        <v>0</v>
      </c>
      <c r="E41" s="203">
        <f t="shared" si="11"/>
        <v>0</v>
      </c>
      <c r="F41" s="203">
        <f t="shared" si="11"/>
        <v>15784655</v>
      </c>
      <c r="G41" s="203">
        <f t="shared" si="11"/>
        <v>16725245</v>
      </c>
      <c r="H41" s="203">
        <f t="shared" si="11"/>
        <v>305500</v>
      </c>
      <c r="I41" s="203">
        <f t="shared" si="11"/>
        <v>2400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37301415</v>
      </c>
      <c r="D42" s="15">
        <f t="shared" ref="D42:P42" si="12">+D62+D69</f>
        <v>24814265</v>
      </c>
      <c r="E42" s="15">
        <f t="shared" si="12"/>
        <v>0</v>
      </c>
      <c r="F42" s="15">
        <f t="shared" si="12"/>
        <v>2585250</v>
      </c>
      <c r="G42" s="15">
        <f t="shared" si="12"/>
        <v>9556300</v>
      </c>
      <c r="H42" s="15">
        <f t="shared" si="12"/>
        <v>200000</v>
      </c>
      <c r="I42" s="15">
        <f t="shared" si="12"/>
        <v>118100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20000</v>
      </c>
      <c r="N42" s="15">
        <f t="shared" si="12"/>
        <v>0</v>
      </c>
      <c r="O42" s="15">
        <f t="shared" si="12"/>
        <v>7500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-28469350</v>
      </c>
      <c r="D43" s="115"/>
      <c r="E43" s="115"/>
      <c r="F43" s="115">
        <v>-15751060</v>
      </c>
      <c r="G43" s="115">
        <v>-12410390</v>
      </c>
      <c r="H43" s="115">
        <v>-305500</v>
      </c>
      <c r="I43" s="115">
        <v>-2400</v>
      </c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41649865</v>
      </c>
      <c r="D44" s="15">
        <f>+D41+D42+D43</f>
        <v>24814265</v>
      </c>
      <c r="E44" s="15">
        <f t="shared" ref="E44:P44" si="13">+E41+E42+E43</f>
        <v>0</v>
      </c>
      <c r="F44" s="15">
        <f t="shared" si="13"/>
        <v>2618845</v>
      </c>
      <c r="G44" s="15">
        <f t="shared" si="13"/>
        <v>13871155</v>
      </c>
      <c r="H44" s="15">
        <f t="shared" si="13"/>
        <v>200000</v>
      </c>
      <c r="I44" s="15">
        <f t="shared" si="13"/>
        <v>118100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20000</v>
      </c>
      <c r="N44" s="15">
        <f t="shared" si="13"/>
        <v>0</v>
      </c>
      <c r="O44" s="15">
        <f t="shared" si="13"/>
        <v>7500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41649865</v>
      </c>
      <c r="D45" s="138">
        <f>+'PLAN RASHODA I IZDATAKA'!D71</f>
        <v>24814265</v>
      </c>
      <c r="E45" s="138">
        <f>+'PLAN RASHODA I IZDATAKA'!E71</f>
        <v>0</v>
      </c>
      <c r="F45" s="138">
        <f>+'PLAN RASHODA I IZDATAKA'!F71</f>
        <v>2618845</v>
      </c>
      <c r="G45" s="138">
        <f>+'PLAN RASHODA I IZDATAKA'!G71</f>
        <v>13871155</v>
      </c>
      <c r="H45" s="138">
        <f>+'PLAN RASHODA I IZDATAKA'!H71</f>
        <v>200000</v>
      </c>
      <c r="I45" s="138">
        <f>+'PLAN RASHODA I IZDATAKA'!I71</f>
        <v>118100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20000</v>
      </c>
      <c r="N45" s="138">
        <f>+'PLAN RASHODA I IZDATAKA'!N71</f>
        <v>0</v>
      </c>
      <c r="O45" s="138">
        <f>+'PLAN RASHODA I IZDATAKA'!O71</f>
        <v>7500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200000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200000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23100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23100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95000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95000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100000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100000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9556300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9556300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2485250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2485250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20000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20000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24814265</v>
      </c>
      <c r="D59" s="204">
        <f>SUMIFS('Plan prihoda za unos u SAP'!$H$3:$H$501,'Plan prihoda za unos u SAP'!$C$3:$C$501,"=11",'Plan prihoda za unos u SAP'!$K$3:$K$501,"=671")</f>
        <v>24814265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37293915</v>
      </c>
      <c r="D62" s="4">
        <f t="shared" ref="D62:P62" si="17">SUM(D47:D61)</f>
        <v>24814265</v>
      </c>
      <c r="E62" s="4">
        <f t="shared" si="17"/>
        <v>0</v>
      </c>
      <c r="F62" s="4">
        <f t="shared" si="17"/>
        <v>2585250</v>
      </c>
      <c r="G62" s="4">
        <f t="shared" si="17"/>
        <v>9556300</v>
      </c>
      <c r="H62" s="4">
        <f t="shared" si="17"/>
        <v>200000</v>
      </c>
      <c r="I62" s="4">
        <f t="shared" si="17"/>
        <v>118100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20000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7500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7500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7500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7500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0" t="s">
        <v>339</v>
      </c>
      <c r="B73" s="270"/>
      <c r="C73" s="72">
        <f>SUM(D73:P73)</f>
        <v>37301415</v>
      </c>
      <c r="D73" s="72">
        <f t="shared" ref="D73:P73" si="20">+D72+D69+D62</f>
        <v>24814265</v>
      </c>
      <c r="E73" s="72">
        <f t="shared" si="20"/>
        <v>0</v>
      </c>
      <c r="F73" s="72">
        <f t="shared" si="20"/>
        <v>2585250</v>
      </c>
      <c r="G73" s="72">
        <f t="shared" si="20"/>
        <v>9556300</v>
      </c>
      <c r="H73" s="72">
        <f t="shared" si="20"/>
        <v>200000</v>
      </c>
      <c r="I73" s="72">
        <f t="shared" si="20"/>
        <v>118100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20000</v>
      </c>
      <c r="N73" s="72">
        <f t="shared" si="20"/>
        <v>0</v>
      </c>
      <c r="O73" s="72">
        <f t="shared" si="20"/>
        <v>7500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5" t="s">
        <v>292</v>
      </c>
      <c r="B75" s="266"/>
      <c r="C75" s="267" t="s">
        <v>840</v>
      </c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9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28469350</v>
      </c>
      <c r="D77" s="203">
        <f t="shared" ref="D77:P77" si="22">-D43</f>
        <v>0</v>
      </c>
      <c r="E77" s="203">
        <f t="shared" si="22"/>
        <v>0</v>
      </c>
      <c r="F77" s="203">
        <f t="shared" si="22"/>
        <v>15751060</v>
      </c>
      <c r="G77" s="203">
        <f t="shared" si="22"/>
        <v>12410390</v>
      </c>
      <c r="H77" s="203">
        <f t="shared" si="22"/>
        <v>305500</v>
      </c>
      <c r="I77" s="203">
        <f t="shared" si="22"/>
        <v>2400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37158253</v>
      </c>
      <c r="D78" s="15">
        <f t="shared" ref="D78:P78" si="23">+D98+D105</f>
        <v>24870466</v>
      </c>
      <c r="E78" s="15">
        <f t="shared" si="23"/>
        <v>0</v>
      </c>
      <c r="F78" s="15">
        <f t="shared" si="23"/>
        <v>2526500</v>
      </c>
      <c r="G78" s="15">
        <f t="shared" si="23"/>
        <v>9415787</v>
      </c>
      <c r="H78" s="15">
        <f t="shared" si="23"/>
        <v>200000</v>
      </c>
      <c r="I78" s="15">
        <f t="shared" si="23"/>
        <v>118100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20000</v>
      </c>
      <c r="N78" s="15">
        <f t="shared" si="23"/>
        <v>0</v>
      </c>
      <c r="O78" s="15">
        <f t="shared" si="23"/>
        <v>7400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-29025137</v>
      </c>
      <c r="D79" s="115"/>
      <c r="E79" s="115"/>
      <c r="F79" s="115">
        <v>-15708215</v>
      </c>
      <c r="G79" s="115">
        <v>-13009022</v>
      </c>
      <c r="H79" s="115">
        <v>-305500</v>
      </c>
      <c r="I79" s="115">
        <v>-2400</v>
      </c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36602466</v>
      </c>
      <c r="D80" s="15">
        <f>+D77+D78+D79</f>
        <v>24870466</v>
      </c>
      <c r="E80" s="15">
        <f t="shared" ref="E80:P80" si="24">+E77+E78+E79</f>
        <v>0</v>
      </c>
      <c r="F80" s="15">
        <f t="shared" si="24"/>
        <v>2569345</v>
      </c>
      <c r="G80" s="15">
        <f t="shared" si="24"/>
        <v>8817155</v>
      </c>
      <c r="H80" s="15">
        <f t="shared" si="24"/>
        <v>200000</v>
      </c>
      <c r="I80" s="15">
        <f t="shared" si="24"/>
        <v>118100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20000</v>
      </c>
      <c r="N80" s="15">
        <f t="shared" si="24"/>
        <v>0</v>
      </c>
      <c r="O80" s="15">
        <f t="shared" si="24"/>
        <v>7400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36602466</v>
      </c>
      <c r="D81" s="138">
        <f>+'PLAN RASHODA I IZDATAKA'!D91</f>
        <v>24870466</v>
      </c>
      <c r="E81" s="138">
        <f>+'PLAN RASHODA I IZDATAKA'!E91</f>
        <v>0</v>
      </c>
      <c r="F81" s="138">
        <f>+'PLAN RASHODA I IZDATAKA'!F91</f>
        <v>2569345</v>
      </c>
      <c r="G81" s="138">
        <f>+'PLAN RASHODA I IZDATAKA'!G91</f>
        <v>8817155</v>
      </c>
      <c r="H81" s="138">
        <f>+'PLAN RASHODA I IZDATAKA'!H91</f>
        <v>200000</v>
      </c>
      <c r="I81" s="138">
        <f>+'PLAN RASHODA I IZDATAKA'!I91</f>
        <v>118100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20000</v>
      </c>
      <c r="N81" s="138">
        <f>+'PLAN RASHODA I IZDATAKA'!N91</f>
        <v>0</v>
      </c>
      <c r="O81" s="138">
        <f>+'PLAN RASHODA I IZDATAKA'!O91</f>
        <v>7400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200000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200000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23100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23100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95000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95000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100000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100000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9415787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9415787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2426500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2426500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20000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20000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24870466</v>
      </c>
      <c r="D95" s="204">
        <f>SUMIFS('Plan prihoda za unos u SAP'!$I$3:$I$501,'Plan prihoda za unos u SAP'!$C$3:$C$501,"=11",'Plan prihoda za unos u SAP'!$K$3:$K$501,"=671")</f>
        <v>24870466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37150853</v>
      </c>
      <c r="D98" s="4">
        <f t="shared" ref="D98:P98" si="28">SUM(D83:D97)</f>
        <v>24870466</v>
      </c>
      <c r="E98" s="4">
        <f t="shared" si="28"/>
        <v>0</v>
      </c>
      <c r="F98" s="4">
        <f t="shared" si="28"/>
        <v>2526500</v>
      </c>
      <c r="G98" s="4">
        <f t="shared" si="28"/>
        <v>9415787</v>
      </c>
      <c r="H98" s="4">
        <f t="shared" si="28"/>
        <v>200000</v>
      </c>
      <c r="I98" s="4">
        <f t="shared" si="28"/>
        <v>118100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20000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7400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7400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7400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7400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0" t="s">
        <v>339</v>
      </c>
      <c r="B109" s="270"/>
      <c r="C109" s="72">
        <f>SUM(D109:P109)</f>
        <v>37158253</v>
      </c>
      <c r="D109" s="72">
        <f t="shared" ref="D109:P109" si="31">+D108+D105+D98</f>
        <v>24870466</v>
      </c>
      <c r="E109" s="72">
        <f t="shared" si="31"/>
        <v>0</v>
      </c>
      <c r="F109" s="72">
        <f t="shared" si="31"/>
        <v>2526500</v>
      </c>
      <c r="G109" s="72">
        <f t="shared" si="31"/>
        <v>9415787</v>
      </c>
      <c r="H109" s="72">
        <f t="shared" si="31"/>
        <v>200000</v>
      </c>
      <c r="I109" s="72">
        <f t="shared" si="31"/>
        <v>118100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20000</v>
      </c>
      <c r="N109" s="72">
        <f t="shared" si="31"/>
        <v>0</v>
      </c>
      <c r="O109" s="72">
        <f t="shared" si="31"/>
        <v>7400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xWindow="1065" yWindow="528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33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H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2" t="s">
        <v>841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41098559</v>
      </c>
      <c r="D3" s="123">
        <f t="shared" ref="D3:P3" si="0">D4+D38+D58</f>
        <v>23663359</v>
      </c>
      <c r="E3" s="123">
        <f t="shared" si="0"/>
        <v>0</v>
      </c>
      <c r="F3" s="123">
        <f t="shared" si="0"/>
        <v>2659345</v>
      </c>
      <c r="G3" s="123">
        <f t="shared" si="0"/>
        <v>14430155</v>
      </c>
      <c r="H3" s="123">
        <f t="shared" si="0"/>
        <v>200000</v>
      </c>
      <c r="I3" s="123">
        <f t="shared" si="0"/>
        <v>118100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20000</v>
      </c>
      <c r="N3" s="123">
        <f t="shared" si="0"/>
        <v>0</v>
      </c>
      <c r="O3" s="123">
        <f t="shared" si="0"/>
        <v>7600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35263959</v>
      </c>
      <c r="D4" s="127">
        <f>D5+D9+D15+D19+D23+D30+D33</f>
        <v>23503359</v>
      </c>
      <c r="E4" s="127">
        <f t="shared" ref="E4:P4" si="1">E5+E9+E15+E19+E23+E30+E33</f>
        <v>0</v>
      </c>
      <c r="F4" s="127">
        <f t="shared" si="1"/>
        <v>2619345</v>
      </c>
      <c r="G4" s="127">
        <f t="shared" si="1"/>
        <v>8803155</v>
      </c>
      <c r="H4" s="127">
        <f t="shared" si="1"/>
        <v>200000</v>
      </c>
      <c r="I4" s="127">
        <f t="shared" si="1"/>
        <v>118100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20000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26781406</v>
      </c>
      <c r="D5" s="13">
        <f>SUM(D6:D8)</f>
        <v>21146251</v>
      </c>
      <c r="E5" s="13">
        <f t="shared" ref="E5:P5" si="3">SUM(E6:E8)</f>
        <v>0</v>
      </c>
      <c r="F5" s="13">
        <f t="shared" si="3"/>
        <v>650000</v>
      </c>
      <c r="G5" s="13">
        <f t="shared" si="3"/>
        <v>4901155</v>
      </c>
      <c r="H5" s="13">
        <f t="shared" si="3"/>
        <v>0</v>
      </c>
      <c r="I5" s="13">
        <f t="shared" si="3"/>
        <v>84000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22778007</v>
      </c>
      <c r="D6" s="143">
        <f>SUMIFS('Plan rashoda za unos u SAP'!$I$3:$I$501,'Plan rashoda za unos u SAP'!$C$3:$C$501,"=11",'Plan rashoda za unos u SAP'!$M$3:$M$501,"=311")</f>
        <v>17837007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650000</v>
      </c>
      <c r="G6" s="143">
        <f>SUMIFS('Plan rashoda za unos u SAP'!$I$3:$I$501,'Plan rashoda za unos u SAP'!$C$3:$C$501,"=43",'Plan rashoda za unos u SAP'!$M$3:$M$501,"=311")</f>
        <v>4207000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84000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445480</v>
      </c>
      <c r="D7" s="143">
        <f>SUMIFS('Plan rashoda za unos u SAP'!$I$3:$I$501,'Plan rashoda za unos u SAP'!$C$3:$C$501,"=11",'Plan rashoda za unos u SAP'!$M$3:$M$501,"=312")</f>
        <v>445480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3557919</v>
      </c>
      <c r="D8" s="143">
        <f>SUMIFS('Plan rashoda za unos u SAP'!$I$3:$I$501,'Plan rashoda za unos u SAP'!$C$3:$C$501,"=11",'Plan rashoda za unos u SAP'!$M$3:$M$501,"=313")</f>
        <v>2863764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0</v>
      </c>
      <c r="G8" s="143">
        <f>SUMIFS('Plan rashoda za unos u SAP'!$I$3:$I$501,'Plan rashoda za unos u SAP'!$C$3:$C$501,"=43",'Plan rashoda za unos u SAP'!$M$3:$M$501,"=313")</f>
        <v>694155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8359003</v>
      </c>
      <c r="D9" s="79">
        <f t="shared" ref="D9:P9" si="4">SUM(D10:D14)</f>
        <v>2304608</v>
      </c>
      <c r="E9" s="79">
        <f t="shared" si="4"/>
        <v>0</v>
      </c>
      <c r="F9" s="79">
        <f t="shared" si="4"/>
        <v>1931295</v>
      </c>
      <c r="G9" s="79">
        <f t="shared" si="4"/>
        <v>3869000</v>
      </c>
      <c r="H9" s="79">
        <f t="shared" si="4"/>
        <v>200000</v>
      </c>
      <c r="I9" s="79">
        <f t="shared" si="4"/>
        <v>34100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20000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1614773</v>
      </c>
      <c r="D10" s="143">
        <f>SUMIFS('Plan rashoda za unos u SAP'!$I$3:$I$501,'Plan rashoda za unos u SAP'!$C$3:$C$501,"=11",'Plan rashoda za unos u SAP'!$M$3:$M$501,"=321")</f>
        <v>742428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210345</v>
      </c>
      <c r="G10" s="143">
        <f>SUMIFS('Plan rashoda za unos u SAP'!$I$3:$I$501,'Plan rashoda za unos u SAP'!$C$3:$C$501,"=43",'Plan rashoda za unos u SAP'!$M$3:$M$501,"=321")</f>
        <v>629200</v>
      </c>
      <c r="H10" s="143">
        <f>SUMIFS('Plan rashoda za unos u SAP'!$I$3:$I$501,'Plan rashoda za unos u SAP'!$C$3:$C$501,"=51",'Plan rashoda za unos u SAP'!$M$3:$M$501,"=321")</f>
        <v>21000</v>
      </c>
      <c r="I10" s="143">
        <f>SUMIFS('Plan rashoda za unos u SAP'!$I$3:$I$501,'Plan rashoda za unos u SAP'!$C$3:$C$501,"=52",'Plan rashoda za unos u SAP'!$M$3:$M$501,"=321")</f>
        <v>11000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800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1060150</v>
      </c>
      <c r="D11" s="143">
        <f>SUMIFS('Plan rashoda za unos u SAP'!$I$3:$I$501,'Plan rashoda za unos u SAP'!$C$3:$C$501,"=11",'Plan rashoda za unos u SAP'!$M$3:$M$501,"=322")</f>
        <v>729000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54250</v>
      </c>
      <c r="G11" s="143">
        <f>SUMIFS('Plan rashoda za unos u SAP'!$I$3:$I$501,'Plan rashoda za unos u SAP'!$C$3:$C$501,"=43",'Plan rashoda za unos u SAP'!$M$3:$M$501,"=322")</f>
        <v>272700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4200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4435800</v>
      </c>
      <c r="D12" s="143">
        <f>SUMIFS('Plan rashoda za unos u SAP'!$I$3:$I$501,'Plan rashoda za unos u SAP'!$C$3:$C$501,"=11",'Plan rashoda za unos u SAP'!$M$3:$M$501,"=323")</f>
        <v>661300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1389500</v>
      </c>
      <c r="G12" s="143">
        <f>SUMIFS('Plan rashoda za unos u SAP'!$I$3:$I$501,'Plan rashoda za unos u SAP'!$C$3:$C$501,"=43",'Plan rashoda za unos u SAP'!$M$3:$M$501,"=323")</f>
        <v>2241000</v>
      </c>
      <c r="H12" s="143">
        <f>SUMIFS('Plan rashoda za unos u SAP'!$I$3:$I$501,'Plan rashoda za unos u SAP'!$C$3:$C$501,"=51",'Plan rashoda za unos u SAP'!$M$3:$M$501,"=323")</f>
        <v>129000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15000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203600</v>
      </c>
      <c r="D13" s="143">
        <f>SUMIFS('Plan rashoda za unos u SAP'!$I$3:$I$501,'Plan rashoda za unos u SAP'!$C$3:$C$501,"=11",'Plan rashoda za unos u SAP'!$M$3:$M$501,"=324")</f>
        <v>45500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35000</v>
      </c>
      <c r="G13" s="143">
        <f>SUMIFS('Plan rashoda za unos u SAP'!$I$3:$I$501,'Plan rashoda za unos u SAP'!$C$3:$C$501,"=43",'Plan rashoda za unos u SAP'!$M$3:$M$501,"=324")</f>
        <v>100000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23100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1044680</v>
      </c>
      <c r="D14" s="143">
        <f>SUMIFS('Plan rashoda za unos u SAP'!$I$3:$I$501,'Plan rashoda za unos u SAP'!$C$3:$C$501,"=11",'Plan rashoda za unos u SAP'!$M$3:$M$501,"=329")</f>
        <v>126380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242200</v>
      </c>
      <c r="G14" s="143">
        <f>SUMIFS('Plan rashoda za unos u SAP'!$I$3:$I$501,'Plan rashoda za unos u SAP'!$C$3:$C$501,"=43",'Plan rashoda za unos u SAP'!$M$3:$M$501,"=329")</f>
        <v>626100</v>
      </c>
      <c r="H14" s="143">
        <f>SUMIFS('Plan rashoda za unos u SAP'!$I$3:$I$501,'Plan rashoda za unos u SAP'!$C$3:$C$501,"=51",'Plan rashoda za unos u SAP'!$M$3:$M$501,"=329")</f>
        <v>50000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58550</v>
      </c>
      <c r="D15" s="4">
        <f t="shared" ref="D15:P15" si="5">SUM(D16:D18)</f>
        <v>2500</v>
      </c>
      <c r="E15" s="4">
        <f t="shared" si="5"/>
        <v>0</v>
      </c>
      <c r="F15" s="4">
        <f t="shared" si="5"/>
        <v>23050</v>
      </c>
      <c r="G15" s="4">
        <f t="shared" si="5"/>
        <v>33000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58550</v>
      </c>
      <c r="D18" s="143">
        <f>SUMIFS('Plan rashoda za unos u SAP'!$I$3:$I$501,'Plan rashoda za unos u SAP'!$C$3:$C$501,"=11",'Plan rashoda za unos u SAP'!$M$3:$M$501,"=343")</f>
        <v>2500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23050</v>
      </c>
      <c r="G18" s="143">
        <f>SUMIFS('Plan rashoda za unos u SAP'!$I$3:$I$501,'Plan rashoda za unos u SAP'!$C$3:$C$501,"=43",'Plan rashoda za unos u SAP'!$M$3:$M$501,"=343")</f>
        <v>33000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50000</v>
      </c>
      <c r="D30" s="4">
        <f t="shared" ref="D30:P30" si="8">SUM(D31:D32)</f>
        <v>50000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50000</v>
      </c>
      <c r="D32" s="143">
        <f>SUMIFS('Plan rashoda za unos u SAP'!$I$3:$I$501,'Plan rashoda za unos u SAP'!$C$3:$C$501,"=11",'Plan rashoda za unos u SAP'!$M$3:$M$501,"=372")</f>
        <v>50000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15000</v>
      </c>
      <c r="D33" s="4">
        <f t="shared" ref="D33:P33" si="9">SUM(D34:D37)</f>
        <v>0</v>
      </c>
      <c r="E33" s="4">
        <f t="shared" si="9"/>
        <v>0</v>
      </c>
      <c r="F33" s="4">
        <f t="shared" si="9"/>
        <v>15000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15000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15000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5834600</v>
      </c>
      <c r="D38" s="128">
        <f>D42+D49+D51+D53+D39</f>
        <v>160000</v>
      </c>
      <c r="E38" s="128">
        <f t="shared" ref="E38:P38" si="10">E42+E49+E51+E53+E39</f>
        <v>0</v>
      </c>
      <c r="F38" s="128">
        <f t="shared" si="10"/>
        <v>40000</v>
      </c>
      <c r="G38" s="128">
        <f t="shared" si="10"/>
        <v>5627000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7600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827000</v>
      </c>
      <c r="D42" s="4">
        <f t="shared" ref="D42:P42" si="12">SUM(D43:D48)</f>
        <v>160000</v>
      </c>
      <c r="E42" s="4">
        <f t="shared" si="12"/>
        <v>0</v>
      </c>
      <c r="F42" s="4">
        <f t="shared" si="12"/>
        <v>40000</v>
      </c>
      <c r="G42" s="4">
        <f t="shared" si="12"/>
        <v>627000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500000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500000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280000</v>
      </c>
      <c r="D44" s="143">
        <f>SUMIFS('Plan rashoda za unos u SAP'!$I$3:$I$501,'Plan rashoda za unos u SAP'!$C$3:$C$501,"=11",'Plan rashoda za unos u SAP'!$M$3:$M$501,"=422")</f>
        <v>115000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40000</v>
      </c>
      <c r="G44" s="143">
        <f>SUMIFS('Plan rashoda za unos u SAP'!$I$3:$I$501,'Plan rashoda za unos u SAP'!$C$3:$C$501,"=43",'Plan rashoda za unos u SAP'!$M$3:$M$501,"=422")</f>
        <v>125000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47000</v>
      </c>
      <c r="D46" s="143">
        <f>SUMIFS('Plan rashoda za unos u SAP'!$I$3:$I$501,'Plan rashoda za unos u SAP'!$C$3:$C$501,"=11",'Plan rashoda za unos u SAP'!$M$3:$M$501,"=424")</f>
        <v>45000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2000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5007600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5000000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7600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5007600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5000000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7600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41649865</v>
      </c>
      <c r="D71" s="123">
        <f t="shared" ref="D71:P71" si="21">+D72+D80+D86</f>
        <v>24814265</v>
      </c>
      <c r="E71" s="123">
        <f t="shared" si="21"/>
        <v>0</v>
      </c>
      <c r="F71" s="123">
        <f t="shared" si="21"/>
        <v>2618845</v>
      </c>
      <c r="G71" s="123">
        <f t="shared" si="21"/>
        <v>13871155</v>
      </c>
      <c r="H71" s="123">
        <f t="shared" si="21"/>
        <v>200000</v>
      </c>
      <c r="I71" s="123">
        <f t="shared" si="21"/>
        <v>118100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20000</v>
      </c>
      <c r="N71" s="123">
        <f t="shared" si="21"/>
        <v>0</v>
      </c>
      <c r="O71" s="123">
        <f t="shared" si="21"/>
        <v>7500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36245365</v>
      </c>
      <c r="D72" s="132">
        <f t="shared" ref="D72:P72" si="22">SUM(D73:D79)</f>
        <v>24654265</v>
      </c>
      <c r="E72" s="132">
        <f t="shared" si="22"/>
        <v>0</v>
      </c>
      <c r="F72" s="132">
        <f t="shared" si="22"/>
        <v>2568845</v>
      </c>
      <c r="G72" s="132">
        <f t="shared" si="22"/>
        <v>8684155</v>
      </c>
      <c r="H72" s="132">
        <f t="shared" si="22"/>
        <v>200000</v>
      </c>
      <c r="I72" s="132">
        <f t="shared" si="22"/>
        <v>118100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20000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27691840</v>
      </c>
      <c r="D73" s="143">
        <f>SUMIFS('Plan rashoda za unos u SAP'!$J$3:$J$501,'Plan rashoda za unos u SAP'!$C$3:$C$501,"=11",'Plan rashoda za unos u SAP'!$N$3:$N$501,"=31")</f>
        <v>22223185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600000</v>
      </c>
      <c r="G73" s="143">
        <f>SUMIFS('Plan rashoda za unos u SAP'!$J$3:$J$501,'Plan rashoda za unos u SAP'!$C$3:$C$501,"=43",'Plan rashoda za unos u SAP'!$N$3:$N$501,"=31")</f>
        <v>4784655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84000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8429975</v>
      </c>
      <c r="D74" s="143">
        <f>SUMIFS('Plan rashoda za unos u SAP'!$J$3:$J$501,'Plan rashoda za unos u SAP'!$C$3:$C$501,"=11",'Plan rashoda za unos u SAP'!$N$3:$N$501,"=32")</f>
        <v>2378580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1930795</v>
      </c>
      <c r="G74" s="143">
        <f>SUMIFS('Plan rashoda za unos u SAP'!$J$3:$J$501,'Plan rashoda za unos u SAP'!$C$3:$C$501,"=43",'Plan rashoda za unos u SAP'!$N$3:$N$501,"=32")</f>
        <v>3866500</v>
      </c>
      <c r="H74" s="143">
        <f>SUMIFS('Plan rashoda za unos u SAP'!$J$3:$J$501,'Plan rashoda za unos u SAP'!$C$3:$C$501,"=51",'Plan rashoda za unos u SAP'!$N$3:$N$501,"=32")</f>
        <v>200000</v>
      </c>
      <c r="I74" s="143">
        <f>SUMIFS('Plan rashoda za unos u SAP'!$J$3:$J$501,'Plan rashoda za unos u SAP'!$C$3:$C$501,"=52",'Plan rashoda za unos u SAP'!$N$3:$N$501,"=32")</f>
        <v>34100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20000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58550</v>
      </c>
      <c r="D75" s="143">
        <f>SUMIFS('Plan rashoda za unos u SAP'!$J$3:$J$501,'Plan rashoda za unos u SAP'!$C$3:$C$501,"=11",'Plan rashoda za unos u SAP'!$N$3:$N$501,"=34")</f>
        <v>2500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23050</v>
      </c>
      <c r="G75" s="143">
        <f>SUMIFS('Plan rashoda za unos u SAP'!$J$3:$J$501,'Plan rashoda za unos u SAP'!$C$3:$C$501,"=43",'Plan rashoda za unos u SAP'!$N$3:$N$501,"=34")</f>
        <v>33000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50000</v>
      </c>
      <c r="D78" s="143">
        <f>SUMIFS('Plan rashoda za unos u SAP'!$J$3:$J$501,'Plan rashoda za unos u SAP'!$C$3:$C$501,"=11",'Plan rashoda za unos u SAP'!$N$3:$N$501,"=37")</f>
        <v>50000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15000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15000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5404500</v>
      </c>
      <c r="D80" s="133">
        <f t="shared" ref="D80:P80" si="24">SUM(D81:D85)</f>
        <v>160000</v>
      </c>
      <c r="E80" s="133">
        <f t="shared" si="24"/>
        <v>0</v>
      </c>
      <c r="F80" s="133">
        <f t="shared" si="24"/>
        <v>50000</v>
      </c>
      <c r="G80" s="133">
        <f t="shared" si="24"/>
        <v>5187000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7500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397000</v>
      </c>
      <c r="D82" s="143">
        <f>SUMIFS('Plan rashoda za unos u SAP'!$J$3:$J$501,'Plan rashoda za unos u SAP'!$C$3:$C$501,"=11",'Plan rashoda za unos u SAP'!$N$3:$N$501,"=42")</f>
        <v>160000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50000</v>
      </c>
      <c r="G82" s="143">
        <f>SUMIFS('Plan rashoda za unos u SAP'!$J$3:$J$501,'Plan rashoda za unos u SAP'!$C$3:$C$501,"=43",'Plan rashoda za unos u SAP'!$N$3:$N$501,"=42")</f>
        <v>187000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5007500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5000000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7500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36602466</v>
      </c>
      <c r="D91" s="123">
        <f t="shared" ref="D91:P91" si="27">D92+D100+D106</f>
        <v>24870466</v>
      </c>
      <c r="E91" s="123">
        <f t="shared" si="27"/>
        <v>0</v>
      </c>
      <c r="F91" s="123">
        <f t="shared" si="27"/>
        <v>2569345</v>
      </c>
      <c r="G91" s="123">
        <f t="shared" si="27"/>
        <v>8817155</v>
      </c>
      <c r="H91" s="123">
        <f t="shared" si="27"/>
        <v>200000</v>
      </c>
      <c r="I91" s="123">
        <f t="shared" si="27"/>
        <v>118100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20000</v>
      </c>
      <c r="N91" s="123">
        <f t="shared" si="27"/>
        <v>0</v>
      </c>
      <c r="O91" s="123">
        <f t="shared" si="27"/>
        <v>7400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36138066</v>
      </c>
      <c r="D92" s="132">
        <f t="shared" ref="D92:P92" si="28">SUM(D93:D99)</f>
        <v>24710466</v>
      </c>
      <c r="E92" s="132">
        <f t="shared" si="28"/>
        <v>0</v>
      </c>
      <c r="F92" s="132">
        <f t="shared" si="28"/>
        <v>2519345</v>
      </c>
      <c r="G92" s="132">
        <f t="shared" si="28"/>
        <v>8570155</v>
      </c>
      <c r="H92" s="132">
        <f t="shared" si="28"/>
        <v>200000</v>
      </c>
      <c r="I92" s="132">
        <f t="shared" si="28"/>
        <v>118100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20000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27579577</v>
      </c>
      <c r="D93" s="143">
        <f>SUMIFS('Plan rashoda za unos u SAP'!$K$3:$K$501,'Plan rashoda za unos u SAP'!$C$3:$C$501,"=11",'Plan rashoda za unos u SAP'!$N$3:$N$501,"=31")</f>
        <v>22277422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550000</v>
      </c>
      <c r="G93" s="143">
        <f>SUMIFS('Plan rashoda za unos u SAP'!$K$3:$K$501,'Plan rashoda za unos u SAP'!$C$3:$C$501,"=43",'Plan rashoda za unos u SAP'!$N$3:$N$501,"=31")</f>
        <v>4668155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84000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8434939</v>
      </c>
      <c r="D94" s="143">
        <f>SUMIFS('Plan rashoda za unos u SAP'!$K$3:$K$501,'Plan rashoda za unos u SAP'!$C$3:$C$501,"=11",'Plan rashoda za unos u SAP'!$N$3:$N$501,"=32")</f>
        <v>2380544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1931295</v>
      </c>
      <c r="G94" s="143">
        <f>SUMIFS('Plan rashoda za unos u SAP'!$K$3:$K$501,'Plan rashoda za unos u SAP'!$C$3:$C$501,"=43",'Plan rashoda za unos u SAP'!$N$3:$N$501,"=32")</f>
        <v>3869000</v>
      </c>
      <c r="H94" s="143">
        <f>SUMIFS('Plan rashoda za unos u SAP'!$K$3:$K$501,'Plan rashoda za unos u SAP'!$C$3:$C$501,"=51",'Plan rashoda za unos u SAP'!$N$3:$N$501,"=32")</f>
        <v>200000</v>
      </c>
      <c r="I94" s="143">
        <f>SUMIFS('Plan rashoda za unos u SAP'!$K$3:$K$501,'Plan rashoda za unos u SAP'!$C$3:$C$501,"=52",'Plan rashoda za unos u SAP'!$N$3:$N$501,"=32")</f>
        <v>34100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20000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58550</v>
      </c>
      <c r="D95" s="143">
        <f>SUMIFS('Plan rashoda za unos u SAP'!$K$3:$K$501,'Plan rashoda za unos u SAP'!$C$3:$C$501,"=11",'Plan rashoda za unos u SAP'!$N$3:$N$501,"=34")</f>
        <v>2500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23050</v>
      </c>
      <c r="G95" s="143">
        <f>SUMIFS('Plan rashoda za unos u SAP'!$K$3:$K$501,'Plan rashoda za unos u SAP'!$C$3:$C$501,"=43",'Plan rashoda za unos u SAP'!$N$3:$N$501,"=34")</f>
        <v>33000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50000</v>
      </c>
      <c r="D98" s="143">
        <f>SUMIFS('Plan rashoda za unos u SAP'!$K$3:$K$501,'Plan rashoda za unos u SAP'!$C$3:$C$501,"=11",'Plan rashoda za unos u SAP'!$N$3:$N$501,"=37")</f>
        <v>50000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15000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15000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464400</v>
      </c>
      <c r="D100" s="133">
        <f t="shared" ref="D100:P100" si="30">SUM(D101:D105)</f>
        <v>160000</v>
      </c>
      <c r="E100" s="133">
        <f t="shared" si="30"/>
        <v>0</v>
      </c>
      <c r="F100" s="133">
        <f t="shared" si="30"/>
        <v>50000</v>
      </c>
      <c r="G100" s="133">
        <f t="shared" si="30"/>
        <v>247000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7400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457000</v>
      </c>
      <c r="D102" s="143">
        <f>SUMIFS('Plan rashoda za unos u SAP'!$K$3:$K$501,'Plan rashoda za unos u SAP'!$C$3:$C$501,"=11",'Plan rashoda za unos u SAP'!$N$3:$N$501,"=42")</f>
        <v>160000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50000</v>
      </c>
      <c r="G102" s="143">
        <f>SUMIFS('Plan rashoda za unos u SAP'!$K$3:$K$501,'Plan rashoda za unos u SAP'!$C$3:$C$501,"=43",'Plan rashoda za unos u SAP'!$N$3:$N$501,"=42")</f>
        <v>247000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7400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7400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5" t="s">
        <v>240</v>
      </c>
      <c r="B10" s="277" t="s">
        <v>241</v>
      </c>
      <c r="C10" s="277" t="s">
        <v>242</v>
      </c>
      <c r="D10" s="280" t="s">
        <v>243</v>
      </c>
      <c r="E10" s="273" t="s">
        <v>853</v>
      </c>
      <c r="F10" s="273" t="s">
        <v>244</v>
      </c>
      <c r="G10" s="273" t="s">
        <v>245</v>
      </c>
      <c r="H10" s="273" t="s">
        <v>854</v>
      </c>
    </row>
    <row r="11" spans="1:8" ht="15.75" thickBot="1">
      <c r="A11" s="276"/>
      <c r="B11" s="278"/>
      <c r="C11" s="279"/>
      <c r="D11" s="281"/>
      <c r="E11" s="282"/>
      <c r="F11" s="274"/>
      <c r="G11" s="274"/>
      <c r="H11" s="274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G14" sqref="G14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3" t="s">
        <v>855</v>
      </c>
      <c r="B1" s="283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3211</v>
      </c>
      <c r="D3" s="149" t="str">
        <f t="shared" ref="D3:D66" si="0">IFERROR(VLOOKUP(C3,$U$5:$W$129,2,FALSE),"")</f>
        <v>Službena putovanja</v>
      </c>
      <c r="E3" s="201" t="s">
        <v>915</v>
      </c>
      <c r="F3" s="149" t="str">
        <f>IFERROR(VLOOKUP(E3,$AA$6:$AB$200,2,FALSE),"")</f>
        <v>ERASMUS+ projekt razvijanja i certificiranja nastavnog plana obrazovnog modula logistike na diplomskim studijima Sveučilišta u Osijeku</v>
      </c>
      <c r="G3" s="198">
        <v>5000</v>
      </c>
      <c r="H3" s="198">
        <v>0</v>
      </c>
      <c r="I3" s="198">
        <v>0</v>
      </c>
      <c r="J3" s="226" t="s">
        <v>1669</v>
      </c>
      <c r="K3" s="225" t="s">
        <v>1670</v>
      </c>
      <c r="L3" s="225" t="s">
        <v>1671</v>
      </c>
      <c r="M3" s="226" t="s">
        <v>1672</v>
      </c>
      <c r="N3" s="226" t="s">
        <v>1673</v>
      </c>
      <c r="P3" s="144" t="str">
        <f>LEFT(C3,3)</f>
        <v>321</v>
      </c>
      <c r="Q3" s="144" t="str">
        <f>LEFT(C3,2)</f>
        <v>32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3237</v>
      </c>
      <c r="D4" s="149" t="str">
        <f t="shared" si="0"/>
        <v>Intelektualne i osobne usluge</v>
      </c>
      <c r="E4" s="201" t="s">
        <v>915</v>
      </c>
      <c r="F4" s="149" t="str">
        <f t="shared" ref="F4:F67" si="2">IFERROR(VLOOKUP(E4,$AA$6:$AB$200,2,FALSE),"")</f>
        <v>ERASMUS+ projekt razvijanja i certificiranja nastavnog plana obrazovnog modula logistike na diplomskim studijima Sveučilišta u Osijeku</v>
      </c>
      <c r="G4" s="198">
        <v>5000</v>
      </c>
      <c r="H4" s="198">
        <v>0</v>
      </c>
      <c r="I4" s="198">
        <v>0</v>
      </c>
      <c r="J4" s="226" t="s">
        <v>1669</v>
      </c>
      <c r="K4" s="225" t="s">
        <v>1670</v>
      </c>
      <c r="L4" s="225" t="s">
        <v>1671</v>
      </c>
      <c r="M4" s="226" t="s">
        <v>1672</v>
      </c>
      <c r="N4" s="226" t="s">
        <v>1673</v>
      </c>
      <c r="P4" s="144" t="str">
        <f t="shared" ref="P4:P67" si="3">LEFT(C4,3)</f>
        <v>323</v>
      </c>
      <c r="Q4" s="144" t="str">
        <f t="shared" ref="Q4:Q67" si="4">LEFT(C4,2)</f>
        <v>32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3239</v>
      </c>
      <c r="D5" s="149" t="str">
        <f t="shared" si="0"/>
        <v>Ostale usluge</v>
      </c>
      <c r="E5" s="201" t="s">
        <v>915</v>
      </c>
      <c r="F5" s="149" t="str">
        <f t="shared" si="2"/>
        <v>ERASMUS+ projekt razvijanja i certificiranja nastavnog plana obrazovnog modula logistike na diplomskim studijima Sveučilišta u Osijeku</v>
      </c>
      <c r="G5" s="198">
        <v>5000</v>
      </c>
      <c r="H5" s="198">
        <v>0</v>
      </c>
      <c r="I5" s="198">
        <v>0</v>
      </c>
      <c r="J5" s="226" t="s">
        <v>1669</v>
      </c>
      <c r="K5" s="225" t="s">
        <v>1670</v>
      </c>
      <c r="L5" s="225" t="s">
        <v>1671</v>
      </c>
      <c r="M5" s="226" t="s">
        <v>1672</v>
      </c>
      <c r="N5" s="226" t="s">
        <v>1673</v>
      </c>
      <c r="P5" s="144" t="str">
        <f t="shared" si="3"/>
        <v>323</v>
      </c>
      <c r="Q5" s="144" t="str">
        <f t="shared" si="4"/>
        <v>32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3293</v>
      </c>
      <c r="D6" s="149" t="str">
        <f t="shared" si="0"/>
        <v>Reprezentacija</v>
      </c>
      <c r="E6" s="201" t="s">
        <v>915</v>
      </c>
      <c r="F6" s="149" t="str">
        <f t="shared" si="2"/>
        <v>ERASMUS+ projekt razvijanja i certificiranja nastavnog plana obrazovnog modula logistike na diplomskim studijima Sveučilišta u Osijeku</v>
      </c>
      <c r="G6" s="198">
        <v>5000</v>
      </c>
      <c r="H6" s="198">
        <v>0</v>
      </c>
      <c r="I6" s="198">
        <v>0</v>
      </c>
      <c r="J6" s="226" t="s">
        <v>1669</v>
      </c>
      <c r="K6" s="225" t="s">
        <v>1670</v>
      </c>
      <c r="L6" s="225" t="s">
        <v>1671</v>
      </c>
      <c r="M6" s="226" t="s">
        <v>1672</v>
      </c>
      <c r="N6" s="226" t="s">
        <v>1673</v>
      </c>
      <c r="P6" s="144" t="str">
        <f t="shared" si="3"/>
        <v>329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1"/>
        <v>Pomoći EU</v>
      </c>
      <c r="C7" s="154">
        <v>3211</v>
      </c>
      <c r="D7" s="149" t="str">
        <f t="shared" si="0"/>
        <v>Službena putovanja</v>
      </c>
      <c r="E7" s="201" t="s">
        <v>914</v>
      </c>
      <c r="F7" s="149" t="str">
        <f t="shared" si="2"/>
        <v>NOVI PODPROJEKT</v>
      </c>
      <c r="G7" s="198">
        <v>16000</v>
      </c>
      <c r="H7" s="198">
        <v>21000</v>
      </c>
      <c r="I7" s="198">
        <v>21000</v>
      </c>
      <c r="J7" s="226" t="s">
        <v>1674</v>
      </c>
      <c r="K7" s="225" t="s">
        <v>1675</v>
      </c>
      <c r="L7" s="225">
        <v>44620</v>
      </c>
      <c r="M7" s="226" t="s">
        <v>1676</v>
      </c>
      <c r="N7" s="226" t="s">
        <v>1677</v>
      </c>
      <c r="P7" s="144" t="str">
        <f t="shared" si="3"/>
        <v>321</v>
      </c>
      <c r="Q7" s="144" t="str">
        <f t="shared" si="4"/>
        <v>32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3237</v>
      </c>
      <c r="D8" s="149" t="str">
        <f t="shared" si="0"/>
        <v>Intelektualne i osobne usluge</v>
      </c>
      <c r="E8" s="201" t="s">
        <v>914</v>
      </c>
      <c r="F8" s="149" t="str">
        <f t="shared" si="2"/>
        <v>NOVI PODPROJEKT</v>
      </c>
      <c r="G8" s="198">
        <v>74000</v>
      </c>
      <c r="H8" s="198">
        <v>79000</v>
      </c>
      <c r="I8" s="198">
        <v>79000</v>
      </c>
      <c r="J8" s="226" t="s">
        <v>1674</v>
      </c>
      <c r="K8" s="225" t="s">
        <v>1675</v>
      </c>
      <c r="L8" s="225">
        <v>44620</v>
      </c>
      <c r="M8" s="226" t="s">
        <v>1676</v>
      </c>
      <c r="N8" s="226" t="s">
        <v>1677</v>
      </c>
      <c r="P8" s="144" t="str">
        <f t="shared" si="3"/>
        <v>323</v>
      </c>
      <c r="Q8" s="144" t="str">
        <f t="shared" si="4"/>
        <v>32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1"/>
        <v>Pomoći EU</v>
      </c>
      <c r="C9" s="154">
        <v>3239</v>
      </c>
      <c r="D9" s="149" t="str">
        <f t="shared" si="0"/>
        <v>Ostale usluge</v>
      </c>
      <c r="E9" s="201" t="s">
        <v>914</v>
      </c>
      <c r="F9" s="149" t="str">
        <f t="shared" si="2"/>
        <v>NOVI PODPROJEKT</v>
      </c>
      <c r="G9" s="198">
        <v>45000</v>
      </c>
      <c r="H9" s="198">
        <v>50000</v>
      </c>
      <c r="I9" s="198">
        <v>50000</v>
      </c>
      <c r="J9" s="226" t="s">
        <v>1674</v>
      </c>
      <c r="K9" s="225" t="s">
        <v>1675</v>
      </c>
      <c r="L9" s="225">
        <v>44620</v>
      </c>
      <c r="M9" s="226" t="s">
        <v>1676</v>
      </c>
      <c r="N9" s="226" t="s">
        <v>1677</v>
      </c>
      <c r="P9" s="144" t="str">
        <f t="shared" si="3"/>
        <v>323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1"/>
        <v>Pomoći EU</v>
      </c>
      <c r="C10" s="154">
        <v>3293</v>
      </c>
      <c r="D10" s="149" t="str">
        <f t="shared" si="0"/>
        <v>Reprezentacija</v>
      </c>
      <c r="E10" s="201" t="s">
        <v>914</v>
      </c>
      <c r="F10" s="149" t="str">
        <f t="shared" si="2"/>
        <v>NOVI PODPROJEKT</v>
      </c>
      <c r="G10" s="198">
        <v>45000</v>
      </c>
      <c r="H10" s="198">
        <v>50000</v>
      </c>
      <c r="I10" s="198">
        <v>50000</v>
      </c>
      <c r="J10" s="226" t="s">
        <v>1674</v>
      </c>
      <c r="K10" s="225" t="s">
        <v>1675</v>
      </c>
      <c r="L10" s="225">
        <v>44620</v>
      </c>
      <c r="M10" s="226" t="s">
        <v>1676</v>
      </c>
      <c r="N10" s="226" t="s">
        <v>1677</v>
      </c>
      <c r="P10" s="144" t="str">
        <f t="shared" si="3"/>
        <v>329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52</v>
      </c>
      <c r="B11" s="149" t="str">
        <f t="shared" si="1"/>
        <v>Ostale pomoći</v>
      </c>
      <c r="C11" s="154">
        <v>3111</v>
      </c>
      <c r="D11" s="149" t="str">
        <f t="shared" si="0"/>
        <v>Plaće za redovan rad</v>
      </c>
      <c r="E11" s="201" t="s">
        <v>914</v>
      </c>
      <c r="F11" s="149" t="str">
        <f t="shared" si="2"/>
        <v>NOVI PODPROJEKT</v>
      </c>
      <c r="G11" s="198">
        <v>84000</v>
      </c>
      <c r="H11" s="198">
        <v>84000</v>
      </c>
      <c r="I11" s="198">
        <v>84000</v>
      </c>
      <c r="J11" s="226" t="s">
        <v>1678</v>
      </c>
      <c r="K11" s="225">
        <v>43546</v>
      </c>
      <c r="L11" s="225">
        <v>44642</v>
      </c>
      <c r="M11" s="226" t="s">
        <v>1679</v>
      </c>
      <c r="N11" s="252" t="s">
        <v>1680</v>
      </c>
      <c r="P11" s="144" t="str">
        <f t="shared" si="3"/>
        <v>311</v>
      </c>
      <c r="Q11" s="144" t="str">
        <f t="shared" si="4"/>
        <v>31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52</v>
      </c>
      <c r="B12" s="149" t="str">
        <f t="shared" si="1"/>
        <v>Ostale pomoći</v>
      </c>
      <c r="C12" s="154">
        <v>3211</v>
      </c>
      <c r="D12" s="149" t="str">
        <f t="shared" si="0"/>
        <v>Službena putovanja</v>
      </c>
      <c r="E12" s="201" t="s">
        <v>914</v>
      </c>
      <c r="F12" s="149" t="str">
        <f t="shared" si="2"/>
        <v>NOVI PODPROJEKT</v>
      </c>
      <c r="G12" s="198">
        <v>11000</v>
      </c>
      <c r="H12" s="198">
        <v>11000</v>
      </c>
      <c r="I12" s="198">
        <v>11000</v>
      </c>
      <c r="J12" s="226" t="s">
        <v>1678</v>
      </c>
      <c r="K12" s="225">
        <v>43546</v>
      </c>
      <c r="L12" s="225">
        <v>44642</v>
      </c>
      <c r="M12" s="226" t="s">
        <v>1679</v>
      </c>
      <c r="N12" s="252" t="s">
        <v>1680</v>
      </c>
      <c r="P12" s="144" t="str">
        <f t="shared" si="3"/>
        <v>321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52</v>
      </c>
      <c r="B13" s="149" t="str">
        <f t="shared" si="1"/>
        <v>Ostale pomoći</v>
      </c>
      <c r="C13" s="154">
        <v>3241</v>
      </c>
      <c r="D13" s="149" t="str">
        <f t="shared" si="0"/>
        <v>Naknade troškova osobama izvan radnog odnosa</v>
      </c>
      <c r="E13" s="201" t="s">
        <v>914</v>
      </c>
      <c r="F13" s="149" t="str">
        <f t="shared" si="2"/>
        <v>NOVI PODPROJEKT</v>
      </c>
      <c r="G13" s="198">
        <v>23100</v>
      </c>
      <c r="H13" s="198">
        <v>23100</v>
      </c>
      <c r="I13" s="198">
        <v>23100</v>
      </c>
      <c r="J13" s="226" t="s">
        <v>1678</v>
      </c>
      <c r="K13" s="225">
        <v>43546</v>
      </c>
      <c r="L13" s="225">
        <v>44642</v>
      </c>
      <c r="M13" s="226" t="s">
        <v>1679</v>
      </c>
      <c r="N13" s="252" t="s">
        <v>1680</v>
      </c>
      <c r="P13" s="144" t="str">
        <f t="shared" si="3"/>
        <v>324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workbookViewId="0">
      <selection activeCell="B49" sqref="B49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 maric</cp:lastModifiedBy>
  <cp:lastPrinted>2020-01-09T12:21:48Z</cp:lastPrinted>
  <dcterms:created xsi:type="dcterms:W3CDTF">2018-09-10T07:36:17Z</dcterms:created>
  <dcterms:modified xsi:type="dcterms:W3CDTF">2020-01-09T12:30:26Z</dcterms:modified>
</cp:coreProperties>
</file>